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2" codeName="{F3310B89-0DAA-6C43-5919-0D5897632BE8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luisvisuals/Desktop/Bupa/2026/product-review/Ecuador/Essential-Care/final/"/>
    </mc:Choice>
  </mc:AlternateContent>
  <xr:revisionPtr revIDLastSave="0" documentId="13_ncr:1_{705ACD69-3074-3F47-944D-CA7CF065BDBF}" xr6:coauthVersionLast="47" xr6:coauthVersionMax="47" xr10:uidLastSave="{00000000-0000-0000-0000-000000000000}"/>
  <bookViews>
    <workbookView xWindow="0" yWindow="660" windowWidth="34560" windowHeight="21680" xr2:uid="{00000000-000D-0000-FFFF-FFFF00000000}"/>
  </bookViews>
  <sheets>
    <sheet name="INGRESO DE DATOS" sheetId="6" r:id="rId1"/>
    <sheet name="Essential Care (Renovación)" sheetId="24" r:id="rId2"/>
    <sheet name="Essential 500" sheetId="16" r:id="rId3"/>
    <sheet name="Essential 1000" sheetId="17" r:id="rId4"/>
    <sheet name="Resumen Tarifas" sheetId="15" state="veryHidden" r:id="rId5"/>
    <sheet name="Tablas" sheetId="4" state="hidden" r:id="rId6"/>
    <sheet name="Tablas Guyanas y Santa Elena" sheetId="22" state="hidden" r:id="rId7"/>
    <sheet name="Tablas Resto de Ecuador" sheetId="23" state="hidden" r:id="rId8"/>
  </sheets>
  <functionGroups builtInGroupCount="19"/>
  <definedNames>
    <definedName name="_xleta.IF" hidden="1" xlm="1">#NAME?</definedName>
    <definedName name="_xlnm.Print_Area" localSheetId="3">'Essential 1000'!$A$1:$J$85,'Essential 1000'!$M$1:$Z$43,'Essential 1000'!$AB$1:$AO$43</definedName>
    <definedName name="_xlnm.Print_Area" localSheetId="2">'Essential 500'!$A$1:$I$84,'Essential 500'!$L$1:$Y$52,'Essential 500'!$AA$1:$AN$52</definedName>
    <definedName name="_xlnm.Print_Area" localSheetId="1">'Essential Care (Renovación)'!$A$1:$G$87,'Essential Care (Renovación)'!$I$1:$T$57</definedName>
    <definedName name="_xlnm.Print_Area" localSheetId="4">'Resumen Tarifas'!$A$1:$H$68</definedName>
  </definedNames>
  <calcPr calcId="191028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17" l="1"/>
  <c r="E24" i="17"/>
  <c r="F24" i="17"/>
  <c r="G24" i="17"/>
  <c r="H24" i="17"/>
  <c r="I24" i="17"/>
  <c r="C24" i="17"/>
  <c r="P39" i="6"/>
  <c r="Q39" i="6"/>
  <c r="O39" i="6"/>
  <c r="L44" i="6" l="1"/>
  <c r="P160" i="4" l="1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59" i="4"/>
  <c r="O185" i="4" l="1"/>
  <c r="N185" i="4"/>
  <c r="M185" i="4"/>
  <c r="L185" i="4"/>
  <c r="K185" i="4"/>
  <c r="O184" i="4"/>
  <c r="N184" i="4"/>
  <c r="M184" i="4"/>
  <c r="L184" i="4"/>
  <c r="K184" i="4"/>
  <c r="O183" i="4"/>
  <c r="N183" i="4"/>
  <c r="M183" i="4"/>
  <c r="L183" i="4"/>
  <c r="K183" i="4"/>
  <c r="K160" i="4"/>
  <c r="L160" i="4"/>
  <c r="M160" i="4"/>
  <c r="N160" i="4"/>
  <c r="O160" i="4"/>
  <c r="K161" i="4"/>
  <c r="L161" i="4"/>
  <c r="M161" i="4"/>
  <c r="N161" i="4"/>
  <c r="O161" i="4"/>
  <c r="K162" i="4"/>
  <c r="L162" i="4"/>
  <c r="M162" i="4"/>
  <c r="N162" i="4"/>
  <c r="O162" i="4"/>
  <c r="K163" i="4"/>
  <c r="L163" i="4"/>
  <c r="M163" i="4"/>
  <c r="N163" i="4"/>
  <c r="O163" i="4"/>
  <c r="K164" i="4"/>
  <c r="L164" i="4"/>
  <c r="M164" i="4"/>
  <c r="N164" i="4"/>
  <c r="O164" i="4"/>
  <c r="K165" i="4"/>
  <c r="L165" i="4"/>
  <c r="M165" i="4"/>
  <c r="N165" i="4"/>
  <c r="O165" i="4"/>
  <c r="K166" i="4"/>
  <c r="L166" i="4"/>
  <c r="M166" i="4"/>
  <c r="N166" i="4"/>
  <c r="O166" i="4"/>
  <c r="K167" i="4"/>
  <c r="L167" i="4"/>
  <c r="M167" i="4"/>
  <c r="N167" i="4"/>
  <c r="O167" i="4"/>
  <c r="K168" i="4"/>
  <c r="L168" i="4"/>
  <c r="M168" i="4"/>
  <c r="N168" i="4"/>
  <c r="O168" i="4"/>
  <c r="K169" i="4"/>
  <c r="L169" i="4"/>
  <c r="M169" i="4"/>
  <c r="N169" i="4"/>
  <c r="O169" i="4"/>
  <c r="K170" i="4"/>
  <c r="L170" i="4"/>
  <c r="M170" i="4"/>
  <c r="N170" i="4"/>
  <c r="O170" i="4"/>
  <c r="K171" i="4"/>
  <c r="L171" i="4"/>
  <c r="M171" i="4"/>
  <c r="N171" i="4"/>
  <c r="O171" i="4"/>
  <c r="K172" i="4"/>
  <c r="L172" i="4"/>
  <c r="M172" i="4"/>
  <c r="N172" i="4"/>
  <c r="O172" i="4"/>
  <c r="K173" i="4"/>
  <c r="L173" i="4"/>
  <c r="M173" i="4"/>
  <c r="N173" i="4"/>
  <c r="O173" i="4"/>
  <c r="K174" i="4"/>
  <c r="L174" i="4"/>
  <c r="M174" i="4"/>
  <c r="N174" i="4"/>
  <c r="O174" i="4"/>
  <c r="K175" i="4"/>
  <c r="L175" i="4"/>
  <c r="M175" i="4"/>
  <c r="N175" i="4"/>
  <c r="O175" i="4"/>
  <c r="K176" i="4"/>
  <c r="L176" i="4"/>
  <c r="M176" i="4"/>
  <c r="N176" i="4"/>
  <c r="O176" i="4"/>
  <c r="K177" i="4"/>
  <c r="L177" i="4"/>
  <c r="M177" i="4"/>
  <c r="N177" i="4"/>
  <c r="O177" i="4"/>
  <c r="K178" i="4"/>
  <c r="L178" i="4"/>
  <c r="M178" i="4"/>
  <c r="N178" i="4"/>
  <c r="O178" i="4"/>
  <c r="K179" i="4"/>
  <c r="L179" i="4"/>
  <c r="M179" i="4"/>
  <c r="N179" i="4"/>
  <c r="O179" i="4"/>
  <c r="K180" i="4"/>
  <c r="L180" i="4"/>
  <c r="M180" i="4"/>
  <c r="N180" i="4"/>
  <c r="O180" i="4"/>
  <c r="K181" i="4"/>
  <c r="L181" i="4"/>
  <c r="M181" i="4"/>
  <c r="N181" i="4"/>
  <c r="O181" i="4"/>
  <c r="K182" i="4"/>
  <c r="L182" i="4"/>
  <c r="M182" i="4"/>
  <c r="N182" i="4"/>
  <c r="O182" i="4"/>
  <c r="L159" i="4"/>
  <c r="M159" i="4"/>
  <c r="N159" i="4"/>
  <c r="O159" i="4"/>
  <c r="K159" i="4"/>
  <c r="D18" i="24"/>
  <c r="C17" i="16"/>
  <c r="C17" i="17"/>
  <c r="C17" i="15"/>
  <c r="C35" i="24"/>
  <c r="D35" i="24"/>
  <c r="E35" i="24"/>
  <c r="F35" i="24"/>
  <c r="G35" i="24"/>
  <c r="B35" i="24"/>
  <c r="W20" i="6"/>
  <c r="L43" i="6"/>
  <c r="C34" i="24"/>
  <c r="D34" i="24"/>
  <c r="E34" i="24"/>
  <c r="F34" i="24"/>
  <c r="G34" i="24"/>
  <c r="B34" i="24"/>
  <c r="G19" i="24"/>
  <c r="I19" i="17"/>
  <c r="B19" i="24"/>
  <c r="B19" i="17"/>
  <c r="G17" i="24"/>
  <c r="B17" i="17"/>
  <c r="B17" i="24"/>
  <c r="B15" i="17"/>
  <c r="B13" i="24"/>
  <c r="B13" i="17"/>
  <c r="B15" i="24"/>
  <c r="Q19" i="6"/>
  <c r="P30" i="6" s="1"/>
  <c r="F21" i="24"/>
  <c r="Q185" i="4"/>
  <c r="Q184" i="4"/>
  <c r="Q183" i="4"/>
  <c r="Q182" i="4"/>
  <c r="Q181" i="4"/>
  <c r="Q180" i="4"/>
  <c r="Q179" i="4"/>
  <c r="Q178" i="4"/>
  <c r="Q177" i="4"/>
  <c r="Q176" i="4"/>
  <c r="Q175" i="4"/>
  <c r="Q174" i="4"/>
  <c r="Q173" i="4"/>
  <c r="Q172" i="4"/>
  <c r="Q171" i="4"/>
  <c r="Q170" i="4"/>
  <c r="Q169" i="4"/>
  <c r="Q168" i="4"/>
  <c r="Q167" i="4"/>
  <c r="Q166" i="4"/>
  <c r="Q165" i="4"/>
  <c r="Q164" i="4"/>
  <c r="Q163" i="4"/>
  <c r="Q162" i="4"/>
  <c r="Q161" i="4"/>
  <c r="Q160" i="4"/>
  <c r="Q159" i="4"/>
  <c r="A46" i="17"/>
  <c r="W3" i="4"/>
  <c r="I19" i="16"/>
  <c r="K85" i="4"/>
  <c r="L85" i="4"/>
  <c r="M85" i="4"/>
  <c r="N85" i="4"/>
  <c r="O85" i="4"/>
  <c r="P85" i="4"/>
  <c r="Q85" i="4"/>
  <c r="K86" i="4"/>
  <c r="L86" i="4"/>
  <c r="M86" i="4"/>
  <c r="N86" i="4"/>
  <c r="O86" i="4"/>
  <c r="P86" i="4"/>
  <c r="Q86" i="4"/>
  <c r="K87" i="4"/>
  <c r="L87" i="4"/>
  <c r="M87" i="4"/>
  <c r="N87" i="4"/>
  <c r="O87" i="4"/>
  <c r="P87" i="4"/>
  <c r="Q87" i="4"/>
  <c r="K88" i="4"/>
  <c r="L88" i="4"/>
  <c r="M88" i="4"/>
  <c r="N88" i="4"/>
  <c r="O88" i="4"/>
  <c r="P88" i="4"/>
  <c r="Q88" i="4"/>
  <c r="K89" i="4"/>
  <c r="L89" i="4"/>
  <c r="M89" i="4"/>
  <c r="N89" i="4"/>
  <c r="O89" i="4"/>
  <c r="P89" i="4"/>
  <c r="Q89" i="4"/>
  <c r="K90" i="4"/>
  <c r="L90" i="4"/>
  <c r="M90" i="4"/>
  <c r="N90" i="4"/>
  <c r="O90" i="4"/>
  <c r="P90" i="4"/>
  <c r="Q90" i="4"/>
  <c r="K91" i="4"/>
  <c r="L91" i="4"/>
  <c r="M91" i="4"/>
  <c r="N91" i="4"/>
  <c r="O91" i="4"/>
  <c r="P91" i="4"/>
  <c r="Q91" i="4"/>
  <c r="K92" i="4"/>
  <c r="L92" i="4"/>
  <c r="M92" i="4"/>
  <c r="N92" i="4"/>
  <c r="O92" i="4"/>
  <c r="P92" i="4"/>
  <c r="Q92" i="4"/>
  <c r="K93" i="4"/>
  <c r="L93" i="4"/>
  <c r="M93" i="4"/>
  <c r="N93" i="4"/>
  <c r="O93" i="4"/>
  <c r="P93" i="4"/>
  <c r="Q93" i="4"/>
  <c r="K94" i="4"/>
  <c r="L94" i="4"/>
  <c r="M94" i="4"/>
  <c r="N94" i="4"/>
  <c r="O94" i="4"/>
  <c r="P94" i="4"/>
  <c r="Q94" i="4"/>
  <c r="K95" i="4"/>
  <c r="L95" i="4"/>
  <c r="M95" i="4"/>
  <c r="N95" i="4"/>
  <c r="O95" i="4"/>
  <c r="P95" i="4"/>
  <c r="Q95" i="4"/>
  <c r="K96" i="4"/>
  <c r="L96" i="4"/>
  <c r="M96" i="4"/>
  <c r="N96" i="4"/>
  <c r="O96" i="4"/>
  <c r="P96" i="4"/>
  <c r="Q96" i="4"/>
  <c r="K97" i="4"/>
  <c r="L97" i="4"/>
  <c r="M97" i="4"/>
  <c r="N97" i="4"/>
  <c r="O97" i="4"/>
  <c r="P97" i="4"/>
  <c r="Q97" i="4"/>
  <c r="K98" i="4"/>
  <c r="L98" i="4"/>
  <c r="M98" i="4"/>
  <c r="N98" i="4"/>
  <c r="O98" i="4"/>
  <c r="P98" i="4"/>
  <c r="Q98" i="4"/>
  <c r="K99" i="4"/>
  <c r="L99" i="4"/>
  <c r="M99" i="4"/>
  <c r="N99" i="4"/>
  <c r="O99" i="4"/>
  <c r="P99" i="4"/>
  <c r="Q99" i="4"/>
  <c r="K100" i="4"/>
  <c r="L100" i="4"/>
  <c r="M100" i="4"/>
  <c r="N100" i="4"/>
  <c r="O100" i="4"/>
  <c r="P100" i="4"/>
  <c r="Q100" i="4"/>
  <c r="K101" i="4"/>
  <c r="L101" i="4"/>
  <c r="M101" i="4"/>
  <c r="N101" i="4"/>
  <c r="O101" i="4"/>
  <c r="P101" i="4"/>
  <c r="Q101" i="4"/>
  <c r="K102" i="4"/>
  <c r="L102" i="4"/>
  <c r="M102" i="4"/>
  <c r="N102" i="4"/>
  <c r="O102" i="4"/>
  <c r="P102" i="4"/>
  <c r="Q102" i="4"/>
  <c r="K103" i="4"/>
  <c r="L103" i="4"/>
  <c r="M103" i="4"/>
  <c r="N103" i="4"/>
  <c r="O103" i="4"/>
  <c r="P103" i="4"/>
  <c r="Q103" i="4"/>
  <c r="K104" i="4"/>
  <c r="L104" i="4"/>
  <c r="M104" i="4"/>
  <c r="N104" i="4"/>
  <c r="O104" i="4"/>
  <c r="P104" i="4"/>
  <c r="Q104" i="4"/>
  <c r="K105" i="4"/>
  <c r="L105" i="4"/>
  <c r="M105" i="4"/>
  <c r="N105" i="4"/>
  <c r="O105" i="4"/>
  <c r="P105" i="4"/>
  <c r="Q105" i="4"/>
  <c r="K106" i="4"/>
  <c r="L106" i="4"/>
  <c r="M106" i="4"/>
  <c r="N106" i="4"/>
  <c r="O106" i="4"/>
  <c r="P106" i="4"/>
  <c r="Q106" i="4"/>
  <c r="K107" i="4"/>
  <c r="L107" i="4"/>
  <c r="M107" i="4"/>
  <c r="N107" i="4"/>
  <c r="O107" i="4"/>
  <c r="P107" i="4"/>
  <c r="Q107" i="4"/>
  <c r="K108" i="4"/>
  <c r="L108" i="4"/>
  <c r="M108" i="4"/>
  <c r="N108" i="4"/>
  <c r="O108" i="4"/>
  <c r="P108" i="4"/>
  <c r="Q108" i="4"/>
  <c r="K109" i="4"/>
  <c r="L109" i="4"/>
  <c r="M109" i="4"/>
  <c r="N109" i="4"/>
  <c r="O109" i="4"/>
  <c r="P109" i="4"/>
  <c r="Q109" i="4"/>
  <c r="K110" i="4"/>
  <c r="L110" i="4"/>
  <c r="M110" i="4"/>
  <c r="N110" i="4"/>
  <c r="O110" i="4"/>
  <c r="P110" i="4"/>
  <c r="Q110" i="4"/>
  <c r="K111" i="4"/>
  <c r="L111" i="4"/>
  <c r="M111" i="4"/>
  <c r="N111" i="4"/>
  <c r="O111" i="4"/>
  <c r="P111" i="4"/>
  <c r="Q111" i="4"/>
  <c r="K112" i="4"/>
  <c r="L112" i="4"/>
  <c r="M112" i="4"/>
  <c r="N112" i="4"/>
  <c r="O112" i="4"/>
  <c r="P112" i="4"/>
  <c r="Q112" i="4"/>
  <c r="K113" i="4"/>
  <c r="L113" i="4"/>
  <c r="M113" i="4"/>
  <c r="N113" i="4"/>
  <c r="O113" i="4"/>
  <c r="P113" i="4"/>
  <c r="Q113" i="4"/>
  <c r="K114" i="4"/>
  <c r="L114" i="4"/>
  <c r="M114" i="4"/>
  <c r="N114" i="4"/>
  <c r="O114" i="4"/>
  <c r="P114" i="4"/>
  <c r="Q114" i="4"/>
  <c r="K115" i="4"/>
  <c r="L115" i="4"/>
  <c r="M115" i="4"/>
  <c r="N115" i="4"/>
  <c r="O115" i="4"/>
  <c r="P115" i="4"/>
  <c r="Q115" i="4"/>
  <c r="K116" i="4"/>
  <c r="L116" i="4"/>
  <c r="M116" i="4"/>
  <c r="N116" i="4"/>
  <c r="O116" i="4"/>
  <c r="P116" i="4"/>
  <c r="Q116" i="4"/>
  <c r="K117" i="4"/>
  <c r="L117" i="4"/>
  <c r="M117" i="4"/>
  <c r="N117" i="4"/>
  <c r="O117" i="4"/>
  <c r="P117" i="4"/>
  <c r="Q117" i="4"/>
  <c r="K118" i="4"/>
  <c r="L118" i="4"/>
  <c r="M118" i="4"/>
  <c r="N118" i="4"/>
  <c r="O118" i="4"/>
  <c r="P118" i="4"/>
  <c r="Q118" i="4"/>
  <c r="K119" i="4"/>
  <c r="L119" i="4"/>
  <c r="M119" i="4"/>
  <c r="N119" i="4"/>
  <c r="O119" i="4"/>
  <c r="P119" i="4"/>
  <c r="Q119" i="4"/>
  <c r="K120" i="4"/>
  <c r="L120" i="4"/>
  <c r="M120" i="4"/>
  <c r="N120" i="4"/>
  <c r="O120" i="4"/>
  <c r="P120" i="4"/>
  <c r="Q120" i="4"/>
  <c r="K121" i="4"/>
  <c r="L121" i="4"/>
  <c r="M121" i="4"/>
  <c r="N121" i="4"/>
  <c r="O121" i="4"/>
  <c r="P121" i="4"/>
  <c r="Q121" i="4"/>
  <c r="K122" i="4"/>
  <c r="L122" i="4"/>
  <c r="M122" i="4"/>
  <c r="N122" i="4"/>
  <c r="O122" i="4"/>
  <c r="P122" i="4"/>
  <c r="Q122" i="4"/>
  <c r="K123" i="4"/>
  <c r="L123" i="4"/>
  <c r="M123" i="4"/>
  <c r="N123" i="4"/>
  <c r="O123" i="4"/>
  <c r="P123" i="4"/>
  <c r="Q123" i="4"/>
  <c r="K124" i="4"/>
  <c r="L124" i="4"/>
  <c r="M124" i="4"/>
  <c r="N124" i="4"/>
  <c r="O124" i="4"/>
  <c r="P124" i="4"/>
  <c r="Q124" i="4"/>
  <c r="K125" i="4"/>
  <c r="L125" i="4"/>
  <c r="M125" i="4"/>
  <c r="N125" i="4"/>
  <c r="O125" i="4"/>
  <c r="P125" i="4"/>
  <c r="Q125" i="4"/>
  <c r="K126" i="4"/>
  <c r="L126" i="4"/>
  <c r="M126" i="4"/>
  <c r="N126" i="4"/>
  <c r="O126" i="4"/>
  <c r="P126" i="4"/>
  <c r="Q126" i="4"/>
  <c r="K127" i="4"/>
  <c r="L127" i="4"/>
  <c r="M127" i="4"/>
  <c r="N127" i="4"/>
  <c r="O127" i="4"/>
  <c r="P127" i="4"/>
  <c r="Q127" i="4"/>
  <c r="K128" i="4"/>
  <c r="L128" i="4"/>
  <c r="M128" i="4"/>
  <c r="N128" i="4"/>
  <c r="O128" i="4"/>
  <c r="P128" i="4"/>
  <c r="Q128" i="4"/>
  <c r="K129" i="4"/>
  <c r="L129" i="4"/>
  <c r="M129" i="4"/>
  <c r="N129" i="4"/>
  <c r="O129" i="4"/>
  <c r="P129" i="4"/>
  <c r="Q129" i="4"/>
  <c r="K130" i="4"/>
  <c r="L130" i="4"/>
  <c r="M130" i="4"/>
  <c r="N130" i="4"/>
  <c r="O130" i="4"/>
  <c r="P130" i="4"/>
  <c r="Q130" i="4"/>
  <c r="K131" i="4"/>
  <c r="L131" i="4"/>
  <c r="M131" i="4"/>
  <c r="N131" i="4"/>
  <c r="O131" i="4"/>
  <c r="P131" i="4"/>
  <c r="Q131" i="4"/>
  <c r="K132" i="4"/>
  <c r="L132" i="4"/>
  <c r="M132" i="4"/>
  <c r="N132" i="4"/>
  <c r="O132" i="4"/>
  <c r="P132" i="4"/>
  <c r="Q132" i="4"/>
  <c r="K133" i="4"/>
  <c r="L133" i="4"/>
  <c r="M133" i="4"/>
  <c r="N133" i="4"/>
  <c r="O133" i="4"/>
  <c r="P133" i="4"/>
  <c r="Q133" i="4"/>
  <c r="K134" i="4"/>
  <c r="L134" i="4"/>
  <c r="M134" i="4"/>
  <c r="N134" i="4"/>
  <c r="O134" i="4"/>
  <c r="P134" i="4"/>
  <c r="Q134" i="4"/>
  <c r="K135" i="4"/>
  <c r="L135" i="4"/>
  <c r="M135" i="4"/>
  <c r="N135" i="4"/>
  <c r="O135" i="4"/>
  <c r="P135" i="4"/>
  <c r="Q135" i="4"/>
  <c r="K136" i="4"/>
  <c r="L136" i="4"/>
  <c r="M136" i="4"/>
  <c r="N136" i="4"/>
  <c r="O136" i="4"/>
  <c r="P136" i="4"/>
  <c r="Q136" i="4"/>
  <c r="K137" i="4"/>
  <c r="L137" i="4"/>
  <c r="M137" i="4"/>
  <c r="N137" i="4"/>
  <c r="O137" i="4"/>
  <c r="P137" i="4"/>
  <c r="Q137" i="4"/>
  <c r="K138" i="4"/>
  <c r="L138" i="4"/>
  <c r="M138" i="4"/>
  <c r="N138" i="4"/>
  <c r="O138" i="4"/>
  <c r="P138" i="4"/>
  <c r="Q138" i="4"/>
  <c r="K139" i="4"/>
  <c r="L139" i="4"/>
  <c r="M139" i="4"/>
  <c r="N139" i="4"/>
  <c r="O139" i="4"/>
  <c r="P139" i="4"/>
  <c r="Q139" i="4"/>
  <c r="K140" i="4"/>
  <c r="L140" i="4"/>
  <c r="M140" i="4"/>
  <c r="N140" i="4"/>
  <c r="O140" i="4"/>
  <c r="P140" i="4"/>
  <c r="Q140" i="4"/>
  <c r="K141" i="4"/>
  <c r="L141" i="4"/>
  <c r="M141" i="4"/>
  <c r="N141" i="4"/>
  <c r="O141" i="4"/>
  <c r="P141" i="4"/>
  <c r="Q141" i="4"/>
  <c r="K142" i="4"/>
  <c r="L142" i="4"/>
  <c r="M142" i="4"/>
  <c r="N142" i="4"/>
  <c r="O142" i="4"/>
  <c r="P142" i="4"/>
  <c r="Q142" i="4"/>
  <c r="K143" i="4"/>
  <c r="L143" i="4"/>
  <c r="M143" i="4"/>
  <c r="N143" i="4"/>
  <c r="O143" i="4"/>
  <c r="P143" i="4"/>
  <c r="Q143" i="4"/>
  <c r="K144" i="4"/>
  <c r="L144" i="4"/>
  <c r="M144" i="4"/>
  <c r="N144" i="4"/>
  <c r="O144" i="4"/>
  <c r="P144" i="4"/>
  <c r="Q144" i="4"/>
  <c r="K145" i="4"/>
  <c r="L145" i="4"/>
  <c r="M145" i="4"/>
  <c r="N145" i="4"/>
  <c r="O145" i="4"/>
  <c r="P145" i="4"/>
  <c r="Q145" i="4"/>
  <c r="K146" i="4"/>
  <c r="L146" i="4"/>
  <c r="M146" i="4"/>
  <c r="N146" i="4"/>
  <c r="O146" i="4"/>
  <c r="P146" i="4"/>
  <c r="Q146" i="4"/>
  <c r="K147" i="4"/>
  <c r="L147" i="4"/>
  <c r="M147" i="4"/>
  <c r="N147" i="4"/>
  <c r="O147" i="4"/>
  <c r="P147" i="4"/>
  <c r="Q147" i="4"/>
  <c r="K148" i="4"/>
  <c r="L148" i="4"/>
  <c r="M148" i="4"/>
  <c r="N148" i="4"/>
  <c r="O148" i="4"/>
  <c r="P148" i="4"/>
  <c r="Q148" i="4"/>
  <c r="K149" i="4"/>
  <c r="L149" i="4"/>
  <c r="M149" i="4"/>
  <c r="N149" i="4"/>
  <c r="O149" i="4"/>
  <c r="P149" i="4"/>
  <c r="Q149" i="4"/>
  <c r="K150" i="4"/>
  <c r="L150" i="4"/>
  <c r="M150" i="4"/>
  <c r="N150" i="4"/>
  <c r="O150" i="4"/>
  <c r="P150" i="4"/>
  <c r="Q150" i="4"/>
  <c r="K151" i="4"/>
  <c r="L151" i="4"/>
  <c r="M151" i="4"/>
  <c r="N151" i="4"/>
  <c r="O151" i="4"/>
  <c r="P151" i="4"/>
  <c r="Q151" i="4"/>
  <c r="K152" i="4"/>
  <c r="L152" i="4"/>
  <c r="M152" i="4"/>
  <c r="N152" i="4"/>
  <c r="O152" i="4"/>
  <c r="P152" i="4"/>
  <c r="Q152" i="4"/>
  <c r="K153" i="4"/>
  <c r="L153" i="4"/>
  <c r="M153" i="4"/>
  <c r="N153" i="4"/>
  <c r="O153" i="4"/>
  <c r="P153" i="4"/>
  <c r="Q153" i="4"/>
  <c r="L84" i="4"/>
  <c r="M84" i="4"/>
  <c r="N84" i="4"/>
  <c r="O84" i="4"/>
  <c r="P84" i="4"/>
  <c r="Q84" i="4"/>
  <c r="K10" i="4"/>
  <c r="L10" i="4"/>
  <c r="M10" i="4"/>
  <c r="N10" i="4"/>
  <c r="O10" i="4"/>
  <c r="P10" i="4"/>
  <c r="Q10" i="4"/>
  <c r="K11" i="4"/>
  <c r="L11" i="4"/>
  <c r="M11" i="4"/>
  <c r="N11" i="4"/>
  <c r="O11" i="4"/>
  <c r="P11" i="4"/>
  <c r="Q11" i="4"/>
  <c r="K12" i="4"/>
  <c r="L12" i="4"/>
  <c r="M12" i="4"/>
  <c r="N12" i="4"/>
  <c r="O12" i="4"/>
  <c r="P12" i="4"/>
  <c r="Q12" i="4"/>
  <c r="K13" i="4"/>
  <c r="L13" i="4"/>
  <c r="M13" i="4"/>
  <c r="N13" i="4"/>
  <c r="O13" i="4"/>
  <c r="P13" i="4"/>
  <c r="Q13" i="4"/>
  <c r="K14" i="4"/>
  <c r="L14" i="4"/>
  <c r="M14" i="4"/>
  <c r="N14" i="4"/>
  <c r="O14" i="4"/>
  <c r="P14" i="4"/>
  <c r="Q14" i="4"/>
  <c r="K15" i="4"/>
  <c r="L15" i="4"/>
  <c r="M15" i="4"/>
  <c r="N15" i="4"/>
  <c r="O15" i="4"/>
  <c r="P15" i="4"/>
  <c r="Q15" i="4"/>
  <c r="K16" i="4"/>
  <c r="L16" i="4"/>
  <c r="M16" i="4"/>
  <c r="N16" i="4"/>
  <c r="O16" i="4"/>
  <c r="P16" i="4"/>
  <c r="Q16" i="4"/>
  <c r="K17" i="4"/>
  <c r="L17" i="4"/>
  <c r="M17" i="4"/>
  <c r="N17" i="4"/>
  <c r="O17" i="4"/>
  <c r="P17" i="4"/>
  <c r="Q17" i="4"/>
  <c r="K18" i="4"/>
  <c r="L18" i="4"/>
  <c r="M18" i="4"/>
  <c r="N18" i="4"/>
  <c r="O18" i="4"/>
  <c r="P18" i="4"/>
  <c r="Q18" i="4"/>
  <c r="K19" i="4"/>
  <c r="L19" i="4"/>
  <c r="M19" i="4"/>
  <c r="N19" i="4"/>
  <c r="O19" i="4"/>
  <c r="P19" i="4"/>
  <c r="Q19" i="4"/>
  <c r="K20" i="4"/>
  <c r="L20" i="4"/>
  <c r="M20" i="4"/>
  <c r="N20" i="4"/>
  <c r="O20" i="4"/>
  <c r="P20" i="4"/>
  <c r="Q20" i="4"/>
  <c r="K21" i="4"/>
  <c r="L21" i="4"/>
  <c r="M21" i="4"/>
  <c r="N21" i="4"/>
  <c r="O21" i="4"/>
  <c r="P21" i="4"/>
  <c r="Q21" i="4"/>
  <c r="K22" i="4"/>
  <c r="L22" i="4"/>
  <c r="M22" i="4"/>
  <c r="N22" i="4"/>
  <c r="O22" i="4"/>
  <c r="P22" i="4"/>
  <c r="Q22" i="4"/>
  <c r="K23" i="4"/>
  <c r="L23" i="4"/>
  <c r="M23" i="4"/>
  <c r="N23" i="4"/>
  <c r="O23" i="4"/>
  <c r="P23" i="4"/>
  <c r="Q23" i="4"/>
  <c r="K24" i="4"/>
  <c r="L24" i="4"/>
  <c r="M24" i="4"/>
  <c r="N24" i="4"/>
  <c r="O24" i="4"/>
  <c r="P24" i="4"/>
  <c r="Q24" i="4"/>
  <c r="K25" i="4"/>
  <c r="L25" i="4"/>
  <c r="M25" i="4"/>
  <c r="N25" i="4"/>
  <c r="O25" i="4"/>
  <c r="P25" i="4"/>
  <c r="Q25" i="4"/>
  <c r="K26" i="4"/>
  <c r="L26" i="4"/>
  <c r="M26" i="4"/>
  <c r="N26" i="4"/>
  <c r="O26" i="4"/>
  <c r="P26" i="4"/>
  <c r="Q26" i="4"/>
  <c r="K27" i="4"/>
  <c r="L27" i="4"/>
  <c r="M27" i="4"/>
  <c r="N27" i="4"/>
  <c r="O27" i="4"/>
  <c r="P27" i="4"/>
  <c r="Q27" i="4"/>
  <c r="K28" i="4"/>
  <c r="L28" i="4"/>
  <c r="M28" i="4"/>
  <c r="N28" i="4"/>
  <c r="O28" i="4"/>
  <c r="P28" i="4"/>
  <c r="Q28" i="4"/>
  <c r="K29" i="4"/>
  <c r="L29" i="4"/>
  <c r="M29" i="4"/>
  <c r="N29" i="4"/>
  <c r="O29" i="4"/>
  <c r="P29" i="4"/>
  <c r="Q29" i="4"/>
  <c r="K30" i="4"/>
  <c r="L30" i="4"/>
  <c r="M30" i="4"/>
  <c r="N30" i="4"/>
  <c r="O30" i="4"/>
  <c r="P30" i="4"/>
  <c r="Q30" i="4"/>
  <c r="K31" i="4"/>
  <c r="L31" i="4"/>
  <c r="M31" i="4"/>
  <c r="N31" i="4"/>
  <c r="O31" i="4"/>
  <c r="P31" i="4"/>
  <c r="Q31" i="4"/>
  <c r="K32" i="4"/>
  <c r="L32" i="4"/>
  <c r="M32" i="4"/>
  <c r="N32" i="4"/>
  <c r="O32" i="4"/>
  <c r="P32" i="4"/>
  <c r="Q32" i="4"/>
  <c r="K33" i="4"/>
  <c r="L33" i="4"/>
  <c r="M33" i="4"/>
  <c r="N33" i="4"/>
  <c r="O33" i="4"/>
  <c r="P33" i="4"/>
  <c r="Q33" i="4"/>
  <c r="K34" i="4"/>
  <c r="L34" i="4"/>
  <c r="M34" i="4"/>
  <c r="N34" i="4"/>
  <c r="O34" i="4"/>
  <c r="P34" i="4"/>
  <c r="Q34" i="4"/>
  <c r="K35" i="4"/>
  <c r="L35" i="4"/>
  <c r="M35" i="4"/>
  <c r="N35" i="4"/>
  <c r="O35" i="4"/>
  <c r="P35" i="4"/>
  <c r="Q35" i="4"/>
  <c r="K36" i="4"/>
  <c r="L36" i="4"/>
  <c r="M36" i="4"/>
  <c r="N36" i="4"/>
  <c r="O36" i="4"/>
  <c r="P36" i="4"/>
  <c r="Q36" i="4"/>
  <c r="K37" i="4"/>
  <c r="L37" i="4"/>
  <c r="M37" i="4"/>
  <c r="N37" i="4"/>
  <c r="O37" i="4"/>
  <c r="P37" i="4"/>
  <c r="Q37" i="4"/>
  <c r="K38" i="4"/>
  <c r="L38" i="4"/>
  <c r="M38" i="4"/>
  <c r="N38" i="4"/>
  <c r="O38" i="4"/>
  <c r="P38" i="4"/>
  <c r="Q38" i="4"/>
  <c r="K39" i="4"/>
  <c r="L39" i="4"/>
  <c r="M39" i="4"/>
  <c r="N39" i="4"/>
  <c r="O39" i="4"/>
  <c r="P39" i="4"/>
  <c r="Q39" i="4"/>
  <c r="K40" i="4"/>
  <c r="L40" i="4"/>
  <c r="M40" i="4"/>
  <c r="N40" i="4"/>
  <c r="O40" i="4"/>
  <c r="P40" i="4"/>
  <c r="Q40" i="4"/>
  <c r="K41" i="4"/>
  <c r="L41" i="4"/>
  <c r="M41" i="4"/>
  <c r="N41" i="4"/>
  <c r="O41" i="4"/>
  <c r="P41" i="4"/>
  <c r="Q41" i="4"/>
  <c r="K42" i="4"/>
  <c r="L42" i="4"/>
  <c r="M42" i="4"/>
  <c r="N42" i="4"/>
  <c r="O42" i="4"/>
  <c r="P42" i="4"/>
  <c r="Q42" i="4"/>
  <c r="K43" i="4"/>
  <c r="L43" i="4"/>
  <c r="M43" i="4"/>
  <c r="N43" i="4"/>
  <c r="O43" i="4"/>
  <c r="P43" i="4"/>
  <c r="Q43" i="4"/>
  <c r="K44" i="4"/>
  <c r="L44" i="4"/>
  <c r="M44" i="4"/>
  <c r="N44" i="4"/>
  <c r="O44" i="4"/>
  <c r="P44" i="4"/>
  <c r="Q44" i="4"/>
  <c r="K45" i="4"/>
  <c r="L45" i="4"/>
  <c r="M45" i="4"/>
  <c r="N45" i="4"/>
  <c r="O45" i="4"/>
  <c r="P45" i="4"/>
  <c r="Q45" i="4"/>
  <c r="K46" i="4"/>
  <c r="L46" i="4"/>
  <c r="M46" i="4"/>
  <c r="N46" i="4"/>
  <c r="O46" i="4"/>
  <c r="P46" i="4"/>
  <c r="Q46" i="4"/>
  <c r="K47" i="4"/>
  <c r="L47" i="4"/>
  <c r="M47" i="4"/>
  <c r="N47" i="4"/>
  <c r="O47" i="4"/>
  <c r="P47" i="4"/>
  <c r="Q47" i="4"/>
  <c r="K48" i="4"/>
  <c r="L48" i="4"/>
  <c r="M48" i="4"/>
  <c r="N48" i="4"/>
  <c r="O48" i="4"/>
  <c r="P48" i="4"/>
  <c r="Q48" i="4"/>
  <c r="K49" i="4"/>
  <c r="L49" i="4"/>
  <c r="M49" i="4"/>
  <c r="N49" i="4"/>
  <c r="O49" i="4"/>
  <c r="P49" i="4"/>
  <c r="Q49" i="4"/>
  <c r="K50" i="4"/>
  <c r="L50" i="4"/>
  <c r="M50" i="4"/>
  <c r="N50" i="4"/>
  <c r="O50" i="4"/>
  <c r="P50" i="4"/>
  <c r="Q50" i="4"/>
  <c r="K51" i="4"/>
  <c r="L51" i="4"/>
  <c r="M51" i="4"/>
  <c r="N51" i="4"/>
  <c r="O51" i="4"/>
  <c r="P51" i="4"/>
  <c r="Q51" i="4"/>
  <c r="K52" i="4"/>
  <c r="L52" i="4"/>
  <c r="M52" i="4"/>
  <c r="N52" i="4"/>
  <c r="O52" i="4"/>
  <c r="P52" i="4"/>
  <c r="Q52" i="4"/>
  <c r="K53" i="4"/>
  <c r="L53" i="4"/>
  <c r="M53" i="4"/>
  <c r="N53" i="4"/>
  <c r="O53" i="4"/>
  <c r="P53" i="4"/>
  <c r="Q53" i="4"/>
  <c r="K54" i="4"/>
  <c r="L54" i="4"/>
  <c r="M54" i="4"/>
  <c r="N54" i="4"/>
  <c r="O54" i="4"/>
  <c r="P54" i="4"/>
  <c r="Q54" i="4"/>
  <c r="K55" i="4"/>
  <c r="L55" i="4"/>
  <c r="M55" i="4"/>
  <c r="N55" i="4"/>
  <c r="O55" i="4"/>
  <c r="P55" i="4"/>
  <c r="Q55" i="4"/>
  <c r="K56" i="4"/>
  <c r="L56" i="4"/>
  <c r="M56" i="4"/>
  <c r="N56" i="4"/>
  <c r="O56" i="4"/>
  <c r="P56" i="4"/>
  <c r="Q56" i="4"/>
  <c r="K57" i="4"/>
  <c r="L57" i="4"/>
  <c r="M57" i="4"/>
  <c r="N57" i="4"/>
  <c r="O57" i="4"/>
  <c r="P57" i="4"/>
  <c r="Q57" i="4"/>
  <c r="K58" i="4"/>
  <c r="L58" i="4"/>
  <c r="M58" i="4"/>
  <c r="N58" i="4"/>
  <c r="O58" i="4"/>
  <c r="P58" i="4"/>
  <c r="Q58" i="4"/>
  <c r="K59" i="4"/>
  <c r="L59" i="4"/>
  <c r="M59" i="4"/>
  <c r="N59" i="4"/>
  <c r="O59" i="4"/>
  <c r="P59" i="4"/>
  <c r="Q59" i="4"/>
  <c r="K60" i="4"/>
  <c r="L60" i="4"/>
  <c r="M60" i="4"/>
  <c r="N60" i="4"/>
  <c r="O60" i="4"/>
  <c r="P60" i="4"/>
  <c r="Q60" i="4"/>
  <c r="K61" i="4"/>
  <c r="L61" i="4"/>
  <c r="M61" i="4"/>
  <c r="N61" i="4"/>
  <c r="O61" i="4"/>
  <c r="P61" i="4"/>
  <c r="Q61" i="4"/>
  <c r="K62" i="4"/>
  <c r="L62" i="4"/>
  <c r="M62" i="4"/>
  <c r="N62" i="4"/>
  <c r="O62" i="4"/>
  <c r="P62" i="4"/>
  <c r="Q62" i="4"/>
  <c r="K63" i="4"/>
  <c r="L63" i="4"/>
  <c r="M63" i="4"/>
  <c r="N63" i="4"/>
  <c r="O63" i="4"/>
  <c r="P63" i="4"/>
  <c r="Q63" i="4"/>
  <c r="K64" i="4"/>
  <c r="L64" i="4"/>
  <c r="M64" i="4"/>
  <c r="N64" i="4"/>
  <c r="O64" i="4"/>
  <c r="P64" i="4"/>
  <c r="Q64" i="4"/>
  <c r="K65" i="4"/>
  <c r="L65" i="4"/>
  <c r="M65" i="4"/>
  <c r="N65" i="4"/>
  <c r="O65" i="4"/>
  <c r="P65" i="4"/>
  <c r="Q65" i="4"/>
  <c r="K66" i="4"/>
  <c r="L66" i="4"/>
  <c r="M66" i="4"/>
  <c r="N66" i="4"/>
  <c r="O66" i="4"/>
  <c r="P66" i="4"/>
  <c r="Q66" i="4"/>
  <c r="K67" i="4"/>
  <c r="L67" i="4"/>
  <c r="M67" i="4"/>
  <c r="N67" i="4"/>
  <c r="O67" i="4"/>
  <c r="P67" i="4"/>
  <c r="Q67" i="4"/>
  <c r="K68" i="4"/>
  <c r="L68" i="4"/>
  <c r="M68" i="4"/>
  <c r="N68" i="4"/>
  <c r="O68" i="4"/>
  <c r="P68" i="4"/>
  <c r="Q68" i="4"/>
  <c r="K69" i="4"/>
  <c r="L69" i="4"/>
  <c r="M69" i="4"/>
  <c r="N69" i="4"/>
  <c r="O69" i="4"/>
  <c r="P69" i="4"/>
  <c r="Q69" i="4"/>
  <c r="K70" i="4"/>
  <c r="L70" i="4"/>
  <c r="M70" i="4"/>
  <c r="N70" i="4"/>
  <c r="O70" i="4"/>
  <c r="P70" i="4"/>
  <c r="Q70" i="4"/>
  <c r="K71" i="4"/>
  <c r="L71" i="4"/>
  <c r="M71" i="4"/>
  <c r="N71" i="4"/>
  <c r="O71" i="4"/>
  <c r="P71" i="4"/>
  <c r="Q71" i="4"/>
  <c r="K72" i="4"/>
  <c r="L72" i="4"/>
  <c r="M72" i="4"/>
  <c r="N72" i="4"/>
  <c r="O72" i="4"/>
  <c r="P72" i="4"/>
  <c r="Q72" i="4"/>
  <c r="K73" i="4"/>
  <c r="L73" i="4"/>
  <c r="M73" i="4"/>
  <c r="N73" i="4"/>
  <c r="O73" i="4"/>
  <c r="P73" i="4"/>
  <c r="Q73" i="4"/>
  <c r="K74" i="4"/>
  <c r="L74" i="4"/>
  <c r="M74" i="4"/>
  <c r="N74" i="4"/>
  <c r="O74" i="4"/>
  <c r="P74" i="4"/>
  <c r="Q74" i="4"/>
  <c r="K75" i="4"/>
  <c r="L75" i="4"/>
  <c r="M75" i="4"/>
  <c r="N75" i="4"/>
  <c r="O75" i="4"/>
  <c r="P75" i="4"/>
  <c r="Q75" i="4"/>
  <c r="K76" i="4"/>
  <c r="L76" i="4"/>
  <c r="M76" i="4"/>
  <c r="N76" i="4"/>
  <c r="O76" i="4"/>
  <c r="P76" i="4"/>
  <c r="Q76" i="4"/>
  <c r="K77" i="4"/>
  <c r="L77" i="4"/>
  <c r="M77" i="4"/>
  <c r="N77" i="4"/>
  <c r="O77" i="4"/>
  <c r="P77" i="4"/>
  <c r="Q77" i="4"/>
  <c r="K78" i="4"/>
  <c r="L78" i="4"/>
  <c r="M78" i="4"/>
  <c r="N78" i="4"/>
  <c r="O78" i="4"/>
  <c r="P78" i="4"/>
  <c r="Q78" i="4"/>
  <c r="L9" i="4"/>
  <c r="M9" i="4"/>
  <c r="N9" i="4"/>
  <c r="O9" i="4"/>
  <c r="P9" i="4"/>
  <c r="Q9" i="4"/>
  <c r="A46" i="16"/>
  <c r="A59" i="16"/>
  <c r="A72" i="16" s="1"/>
  <c r="A59" i="17"/>
  <c r="A72" i="17" s="1"/>
  <c r="T3" i="4"/>
  <c r="K84" i="4"/>
  <c r="K9" i="4"/>
  <c r="A23" i="16"/>
  <c r="A23" i="17"/>
  <c r="B13" i="15"/>
  <c r="B21" i="15"/>
  <c r="B21" i="16"/>
  <c r="B13" i="16"/>
  <c r="B21" i="17"/>
  <c r="U3" i="4"/>
  <c r="S3" i="4"/>
  <c r="V3" i="4"/>
  <c r="P32" i="6"/>
  <c r="Q18" i="6"/>
  <c r="Q17" i="6"/>
  <c r="Q16" i="6"/>
  <c r="Q15" i="6"/>
  <c r="Q14" i="6"/>
  <c r="Q13" i="6"/>
  <c r="V4" i="4"/>
  <c r="W4" i="4"/>
  <c r="B17" i="16"/>
  <c r="B15" i="16"/>
  <c r="B19" i="16"/>
  <c r="B19" i="15"/>
  <c r="H19" i="15"/>
  <c r="B17" i="15"/>
  <c r="B15" i="15"/>
  <c r="E45" i="16"/>
  <c r="E71" i="17"/>
  <c r="I71" i="17"/>
  <c r="D58" i="16"/>
  <c r="D34" i="17"/>
  <c r="C58" i="16"/>
  <c r="E71" i="16"/>
  <c r="C45" i="17"/>
  <c r="C58" i="17"/>
  <c r="I58" i="17"/>
  <c r="C34" i="17"/>
  <c r="D71" i="16"/>
  <c r="C34" i="16"/>
  <c r="I45" i="17"/>
  <c r="C45" i="16"/>
  <c r="F34" i="17"/>
  <c r="F45" i="17"/>
  <c r="F58" i="17"/>
  <c r="E34" i="17"/>
  <c r="E58" i="16"/>
  <c r="E34" i="16"/>
  <c r="D58" i="17"/>
  <c r="D45" i="16"/>
  <c r="F71" i="17"/>
  <c r="E45" i="17"/>
  <c r="I71" i="16"/>
  <c r="C71" i="16"/>
  <c r="I45" i="16"/>
  <c r="E58" i="17"/>
  <c r="I34" i="16"/>
  <c r="D71" i="17"/>
  <c r="D34" i="16"/>
  <c r="D45" i="17"/>
  <c r="C71" i="17"/>
  <c r="I34" i="17"/>
  <c r="I58" i="16"/>
  <c r="B61" i="24" l="1"/>
  <c r="B47" i="24"/>
  <c r="B75" i="24"/>
  <c r="G75" i="24"/>
  <c r="G47" i="24"/>
  <c r="G61" i="24"/>
  <c r="D47" i="24"/>
  <c r="D75" i="24"/>
  <c r="D61" i="24"/>
  <c r="C47" i="24"/>
  <c r="C75" i="24"/>
  <c r="C61" i="24"/>
  <c r="E75" i="24"/>
  <c r="E47" i="24"/>
  <c r="E61" i="24"/>
  <c r="F47" i="24"/>
  <c r="F61" i="24"/>
  <c r="F75" i="24"/>
  <c r="B46" i="24"/>
  <c r="B60" i="24"/>
  <c r="B74" i="24"/>
  <c r="G74" i="24"/>
  <c r="G46" i="24"/>
  <c r="G60" i="24"/>
  <c r="E60" i="24"/>
  <c r="E74" i="24"/>
  <c r="E46" i="24"/>
  <c r="D60" i="24"/>
  <c r="D74" i="24"/>
  <c r="D46" i="24"/>
  <c r="F60" i="24"/>
  <c r="F74" i="24"/>
  <c r="F46" i="24"/>
  <c r="C46" i="24"/>
  <c r="C60" i="24"/>
  <c r="C74" i="24"/>
  <c r="P47" i="6"/>
  <c r="O47" i="6"/>
  <c r="P2" i="4"/>
  <c r="T4" i="4"/>
  <c r="Y29" i="4" s="1"/>
  <c r="I29" i="4" s="1"/>
  <c r="Q47" i="6"/>
  <c r="U4" i="4" s="1"/>
  <c r="S84" i="4" s="1"/>
  <c r="C84" i="4" s="1"/>
  <c r="H7" i="15"/>
  <c r="I7" i="17"/>
  <c r="G7" i="24"/>
  <c r="I7" i="16"/>
  <c r="S4" i="4" l="1"/>
  <c r="W160" i="4" s="1"/>
  <c r="G160" i="4" s="1"/>
  <c r="X164" i="4"/>
  <c r="H164" i="4" s="1"/>
  <c r="X167" i="4"/>
  <c r="H167" i="4" s="1"/>
  <c r="T170" i="4"/>
  <c r="D170" i="4" s="1"/>
  <c r="U169" i="4"/>
  <c r="E169" i="4" s="1"/>
  <c r="X179" i="4"/>
  <c r="H179" i="4" s="1"/>
  <c r="T169" i="4"/>
  <c r="D169" i="4" s="1"/>
  <c r="S178" i="4"/>
  <c r="C178" i="4" s="1"/>
  <c r="S184" i="4"/>
  <c r="C184" i="4" s="1"/>
  <c r="T173" i="4"/>
  <c r="D173" i="4" s="1"/>
  <c r="V175" i="4"/>
  <c r="F175" i="4" s="1"/>
  <c r="X181" i="4"/>
  <c r="H181" i="4" s="1"/>
  <c r="V182" i="4"/>
  <c r="F182" i="4" s="1"/>
  <c r="S166" i="4"/>
  <c r="C166" i="4" s="1"/>
  <c r="W173" i="4"/>
  <c r="G173" i="4" s="1"/>
  <c r="S159" i="4"/>
  <c r="C159" i="4" s="1"/>
  <c r="V170" i="4"/>
  <c r="F170" i="4" s="1"/>
  <c r="T172" i="4"/>
  <c r="D172" i="4" s="1"/>
  <c r="T178" i="4"/>
  <c r="D178" i="4" s="1"/>
  <c r="T180" i="4"/>
  <c r="D180" i="4" s="1"/>
  <c r="W170" i="4"/>
  <c r="G170" i="4" s="1"/>
  <c r="W168" i="4"/>
  <c r="G168" i="4" s="1"/>
  <c r="X166" i="4"/>
  <c r="H166" i="4" s="1"/>
  <c r="V168" i="4"/>
  <c r="F168" i="4" s="1"/>
  <c r="X173" i="4"/>
  <c r="H173" i="4" s="1"/>
  <c r="W182" i="4"/>
  <c r="G182" i="4" s="1"/>
  <c r="T177" i="4"/>
  <c r="D177" i="4" s="1"/>
  <c r="T171" i="4"/>
  <c r="D171" i="4" s="1"/>
  <c r="V163" i="4"/>
  <c r="F163" i="4" s="1"/>
  <c r="S163" i="4"/>
  <c r="C163" i="4" s="1"/>
  <c r="U168" i="4"/>
  <c r="E168" i="4" s="1"/>
  <c r="T166" i="4"/>
  <c r="D166" i="4" s="1"/>
  <c r="U172" i="4"/>
  <c r="E172" i="4" s="1"/>
  <c r="U159" i="4"/>
  <c r="E159" i="4" s="1"/>
  <c r="T175" i="4"/>
  <c r="D175" i="4" s="1"/>
  <c r="V166" i="4"/>
  <c r="F166" i="4" s="1"/>
  <c r="U175" i="4"/>
  <c r="E175" i="4" s="1"/>
  <c r="W172" i="4"/>
  <c r="G172" i="4" s="1"/>
  <c r="W179" i="4"/>
  <c r="G179" i="4" s="1"/>
  <c r="T161" i="4"/>
  <c r="D161" i="4" s="1"/>
  <c r="X165" i="4"/>
  <c r="H165" i="4" s="1"/>
  <c r="U166" i="4"/>
  <c r="E166" i="4" s="1"/>
  <c r="W171" i="4"/>
  <c r="G171" i="4" s="1"/>
  <c r="S177" i="4"/>
  <c r="C177" i="4" s="1"/>
  <c r="V160" i="4"/>
  <c r="F160" i="4" s="1"/>
  <c r="U161" i="4"/>
  <c r="E161" i="4" s="1"/>
  <c r="T159" i="4"/>
  <c r="D159" i="4" s="1"/>
  <c r="V173" i="4"/>
  <c r="F173" i="4" s="1"/>
  <c r="U178" i="4"/>
  <c r="E178" i="4" s="1"/>
  <c r="D32" i="24" s="1"/>
  <c r="W178" i="4"/>
  <c r="G178" i="4" s="1"/>
  <c r="W177" i="4"/>
  <c r="G177" i="4" s="1"/>
  <c r="V183" i="4"/>
  <c r="F183" i="4" s="1"/>
  <c r="S164" i="4"/>
  <c r="C164" i="4" s="1"/>
  <c r="S169" i="4"/>
  <c r="C169" i="4" s="1"/>
  <c r="T164" i="4"/>
  <c r="D164" i="4" s="1"/>
  <c r="W159" i="4"/>
  <c r="G159" i="4" s="1"/>
  <c r="T165" i="4"/>
  <c r="D165" i="4" s="1"/>
  <c r="S175" i="4"/>
  <c r="C175" i="4" s="1"/>
  <c r="W165" i="4"/>
  <c r="G165" i="4" s="1"/>
  <c r="W184" i="4"/>
  <c r="G184" i="4" s="1"/>
  <c r="U179" i="4"/>
  <c r="E179" i="4" s="1"/>
  <c r="U183" i="4"/>
  <c r="E183" i="4" s="1"/>
  <c r="V164" i="4"/>
  <c r="F164" i="4" s="1"/>
  <c r="X169" i="4"/>
  <c r="H169" i="4" s="1"/>
  <c r="S170" i="4"/>
  <c r="C170" i="4" s="1"/>
  <c r="U185" i="4"/>
  <c r="E185" i="4" s="1"/>
  <c r="W163" i="4"/>
  <c r="G163" i="4" s="1"/>
  <c r="X174" i="4"/>
  <c r="H174" i="4" s="1"/>
  <c r="X162" i="4"/>
  <c r="H162" i="4" s="1"/>
  <c r="X170" i="4"/>
  <c r="H170" i="4" s="1"/>
  <c r="S167" i="4"/>
  <c r="C167" i="4" s="1"/>
  <c r="X177" i="4"/>
  <c r="H177" i="4" s="1"/>
  <c r="S161" i="4"/>
  <c r="C161" i="4" s="1"/>
  <c r="U167" i="4"/>
  <c r="E167" i="4" s="1"/>
  <c r="V185" i="4"/>
  <c r="F185" i="4" s="1"/>
  <c r="T185" i="4"/>
  <c r="D185" i="4" s="1"/>
  <c r="T167" i="4"/>
  <c r="D167" i="4" s="1"/>
  <c r="S162" i="4"/>
  <c r="C162" i="4" s="1"/>
  <c r="U163" i="4"/>
  <c r="E163" i="4" s="1"/>
  <c r="T174" i="4"/>
  <c r="D174" i="4" s="1"/>
  <c r="U162" i="4"/>
  <c r="E162" i="4" s="1"/>
  <c r="S174" i="4"/>
  <c r="C174" i="4" s="1"/>
  <c r="U184" i="4"/>
  <c r="E184" i="4" s="1"/>
  <c r="V177" i="4"/>
  <c r="F177" i="4" s="1"/>
  <c r="X182" i="4"/>
  <c r="H182" i="4" s="1"/>
  <c r="W162" i="4"/>
  <c r="G162" i="4" s="1"/>
  <c r="V162" i="4"/>
  <c r="F162" i="4" s="1"/>
  <c r="W164" i="4"/>
  <c r="G164" i="4" s="1"/>
  <c r="X171" i="4"/>
  <c r="H171" i="4" s="1"/>
  <c r="S179" i="4"/>
  <c r="C179" i="4" s="1"/>
  <c r="X37" i="4"/>
  <c r="H37" i="4" s="1"/>
  <c r="V71" i="4"/>
  <c r="F71" i="4" s="1"/>
  <c r="X39" i="4"/>
  <c r="H39" i="4" s="1"/>
  <c r="S65" i="4"/>
  <c r="C65" i="4" s="1"/>
  <c r="W45" i="4"/>
  <c r="G45" i="4" s="1"/>
  <c r="S64" i="4"/>
  <c r="C64" i="4" s="1"/>
  <c r="V33" i="4"/>
  <c r="F33" i="4" s="1"/>
  <c r="X48" i="4"/>
  <c r="H48" i="4" s="1"/>
  <c r="W15" i="4"/>
  <c r="G15" i="4" s="1"/>
  <c r="S9" i="4"/>
  <c r="C9" i="4" s="1"/>
  <c r="V11" i="4"/>
  <c r="F11" i="4" s="1"/>
  <c r="U59" i="4"/>
  <c r="E59" i="4" s="1"/>
  <c r="U38" i="4"/>
  <c r="E38" i="4" s="1"/>
  <c r="S60" i="4"/>
  <c r="C60" i="4" s="1"/>
  <c r="W23" i="4"/>
  <c r="G23" i="4" s="1"/>
  <c r="S19" i="4"/>
  <c r="C19" i="4" s="1"/>
  <c r="S16" i="4"/>
  <c r="C16" i="4" s="1"/>
  <c r="S72" i="4"/>
  <c r="C72" i="4" s="1"/>
  <c r="T48" i="4"/>
  <c r="D48" i="4" s="1"/>
  <c r="V74" i="4"/>
  <c r="F74" i="4" s="1"/>
  <c r="U57" i="4"/>
  <c r="E57" i="4" s="1"/>
  <c r="X19" i="4"/>
  <c r="H19" i="4" s="1"/>
  <c r="V76" i="4"/>
  <c r="F76" i="4" s="1"/>
  <c r="U52" i="4"/>
  <c r="E52" i="4" s="1"/>
  <c r="X64" i="4"/>
  <c r="H64" i="4" s="1"/>
  <c r="T51" i="4"/>
  <c r="D51" i="4" s="1"/>
  <c r="V52" i="4"/>
  <c r="F52" i="4" s="1"/>
  <c r="S54" i="4"/>
  <c r="C54" i="4" s="1"/>
  <c r="V65" i="4"/>
  <c r="F65" i="4" s="1"/>
  <c r="Y10" i="4"/>
  <c r="I10" i="4" s="1"/>
  <c r="Y61" i="4"/>
  <c r="I61" i="4" s="1"/>
  <c r="W26" i="4"/>
  <c r="G26" i="4" s="1"/>
  <c r="S12" i="4"/>
  <c r="C12" i="4" s="1"/>
  <c r="Y33" i="4"/>
  <c r="I33" i="4" s="1"/>
  <c r="W20" i="4"/>
  <c r="G20" i="4" s="1"/>
  <c r="Y59" i="4"/>
  <c r="I59" i="4" s="1"/>
  <c r="T13" i="4"/>
  <c r="D13" i="4" s="1"/>
  <c r="T36" i="4"/>
  <c r="D36" i="4" s="1"/>
  <c r="S42" i="4"/>
  <c r="C42" i="4" s="1"/>
  <c r="Y36" i="4"/>
  <c r="I36" i="4" s="1"/>
  <c r="V75" i="4"/>
  <c r="F75" i="4" s="1"/>
  <c r="V14" i="4"/>
  <c r="F14" i="4" s="1"/>
  <c r="X44" i="4"/>
  <c r="H44" i="4" s="1"/>
  <c r="W22" i="4"/>
  <c r="G22" i="4" s="1"/>
  <c r="U35" i="4"/>
  <c r="E35" i="4" s="1"/>
  <c r="W78" i="4"/>
  <c r="G78" i="4" s="1"/>
  <c r="Y58" i="4"/>
  <c r="I58" i="4" s="1"/>
  <c r="W54" i="4"/>
  <c r="G54" i="4" s="1"/>
  <c r="T55" i="4"/>
  <c r="D55" i="4" s="1"/>
  <c r="Y46" i="4"/>
  <c r="I46" i="4" s="1"/>
  <c r="S20" i="4"/>
  <c r="C20" i="4" s="1"/>
  <c r="T35" i="4"/>
  <c r="D35" i="4" s="1"/>
  <c r="Y14" i="4"/>
  <c r="I14" i="4" s="1"/>
  <c r="W52" i="4"/>
  <c r="G52" i="4" s="1"/>
  <c r="T10" i="4"/>
  <c r="D10" i="4" s="1"/>
  <c r="W61" i="4"/>
  <c r="G61" i="4" s="1"/>
  <c r="T21" i="4"/>
  <c r="D21" i="4" s="1"/>
  <c r="X41" i="4"/>
  <c r="H41" i="4" s="1"/>
  <c r="U62" i="4"/>
  <c r="E62" i="4" s="1"/>
  <c r="S35" i="4"/>
  <c r="C35" i="4" s="1"/>
  <c r="T20" i="4"/>
  <c r="D20" i="4" s="1"/>
  <c r="T17" i="4"/>
  <c r="D17" i="4" s="1"/>
  <c r="S15" i="4"/>
  <c r="C15" i="4" s="1"/>
  <c r="U49" i="4"/>
  <c r="E49" i="4" s="1"/>
  <c r="X76" i="4"/>
  <c r="H76" i="4" s="1"/>
  <c r="X12" i="4"/>
  <c r="H12" i="4" s="1"/>
  <c r="V21" i="4"/>
  <c r="F21" i="4" s="1"/>
  <c r="W37" i="4"/>
  <c r="G37" i="4" s="1"/>
  <c r="Y48" i="4"/>
  <c r="I48" i="4" s="1"/>
  <c r="Y65" i="4"/>
  <c r="I65" i="4" s="1"/>
  <c r="X14" i="4"/>
  <c r="H14" i="4" s="1"/>
  <c r="U10" i="4"/>
  <c r="E10" i="4" s="1"/>
  <c r="W58" i="4"/>
  <c r="G58" i="4" s="1"/>
  <c r="T78" i="4"/>
  <c r="D78" i="4" s="1"/>
  <c r="X38" i="4"/>
  <c r="H38" i="4" s="1"/>
  <c r="V51" i="4"/>
  <c r="F51" i="4" s="1"/>
  <c r="X31" i="4"/>
  <c r="H31" i="4" s="1"/>
  <c r="U68" i="4"/>
  <c r="E68" i="4" s="1"/>
  <c r="S52" i="4"/>
  <c r="C52" i="4" s="1"/>
  <c r="X28" i="4"/>
  <c r="H28" i="4" s="1"/>
  <c r="Y39" i="4"/>
  <c r="I39" i="4" s="1"/>
  <c r="X71" i="4"/>
  <c r="H71" i="4" s="1"/>
  <c r="X33" i="4"/>
  <c r="H33" i="4" s="1"/>
  <c r="U66" i="4"/>
  <c r="E66" i="4" s="1"/>
  <c r="W67" i="4"/>
  <c r="G67" i="4" s="1"/>
  <c r="T60" i="4"/>
  <c r="D60" i="4" s="1"/>
  <c r="T50" i="4"/>
  <c r="D50" i="4" s="1"/>
  <c r="S76" i="4"/>
  <c r="C76" i="4" s="1"/>
  <c r="T72" i="4"/>
  <c r="D72" i="4" s="1"/>
  <c r="T40" i="4"/>
  <c r="D40" i="4" s="1"/>
  <c r="X45" i="4"/>
  <c r="H45" i="4" s="1"/>
  <c r="X16" i="4"/>
  <c r="H16" i="4" s="1"/>
  <c r="T75" i="4"/>
  <c r="D75" i="4" s="1"/>
  <c r="X51" i="4"/>
  <c r="H51" i="4" s="1"/>
  <c r="W30" i="4"/>
  <c r="G30" i="4" s="1"/>
  <c r="Y73" i="4"/>
  <c r="I73" i="4" s="1"/>
  <c r="V37" i="4"/>
  <c r="F37" i="4" s="1"/>
  <c r="U18" i="4"/>
  <c r="E18" i="4" s="1"/>
  <c r="X53" i="4"/>
  <c r="H53" i="4" s="1"/>
  <c r="U11" i="4"/>
  <c r="E11" i="4" s="1"/>
  <c r="W69" i="4"/>
  <c r="G69" i="4" s="1"/>
  <c r="V23" i="4"/>
  <c r="F23" i="4" s="1"/>
  <c r="S44" i="4"/>
  <c r="C44" i="4" s="1"/>
  <c r="V63" i="4"/>
  <c r="F63" i="4" s="1"/>
  <c r="U37" i="4"/>
  <c r="E37" i="4" s="1"/>
  <c r="U21" i="4"/>
  <c r="E21" i="4" s="1"/>
  <c r="X21" i="4"/>
  <c r="H21" i="4" s="1"/>
  <c r="U17" i="4"/>
  <c r="E17" i="4" s="1"/>
  <c r="Y53" i="4"/>
  <c r="I53" i="4" s="1"/>
  <c r="Y77" i="4"/>
  <c r="I77" i="4" s="1"/>
  <c r="W36" i="4"/>
  <c r="G36" i="4" s="1"/>
  <c r="V13" i="4"/>
  <c r="F13" i="4" s="1"/>
  <c r="W38" i="4"/>
  <c r="G38" i="4" s="1"/>
  <c r="X54" i="4"/>
  <c r="H54" i="4" s="1"/>
  <c r="W71" i="4"/>
  <c r="G71" i="4" s="1"/>
  <c r="X62" i="4"/>
  <c r="H62" i="4" s="1"/>
  <c r="Y12" i="4"/>
  <c r="I12" i="4" s="1"/>
  <c r="U64" i="4"/>
  <c r="E64" i="4" s="1"/>
  <c r="S58" i="4"/>
  <c r="C58" i="4" s="1"/>
  <c r="Y50" i="4"/>
  <c r="I50" i="4" s="1"/>
  <c r="S23" i="4"/>
  <c r="C23" i="4" s="1"/>
  <c r="C31" i="17" s="1"/>
  <c r="W12" i="4"/>
  <c r="G12" i="4" s="1"/>
  <c r="T41" i="4"/>
  <c r="D41" i="4" s="1"/>
  <c r="S11" i="4"/>
  <c r="C11" i="4" s="1"/>
  <c r="T34" i="4"/>
  <c r="D34" i="4" s="1"/>
  <c r="X27" i="4"/>
  <c r="H27" i="4" s="1"/>
  <c r="X46" i="4"/>
  <c r="H46" i="4" s="1"/>
  <c r="U13" i="4"/>
  <c r="E13" i="4" s="1"/>
  <c r="Y32" i="4"/>
  <c r="I32" i="4" s="1"/>
  <c r="Y44" i="4"/>
  <c r="I44" i="4" s="1"/>
  <c r="W16" i="4"/>
  <c r="G16" i="4" s="1"/>
  <c r="V67" i="4"/>
  <c r="F67" i="4" s="1"/>
  <c r="X29" i="4"/>
  <c r="H29" i="4" s="1"/>
  <c r="S46" i="4"/>
  <c r="C46" i="4" s="1"/>
  <c r="T37" i="4"/>
  <c r="D37" i="4" s="1"/>
  <c r="Y70" i="4"/>
  <c r="I70" i="4" s="1"/>
  <c r="Y55" i="4"/>
  <c r="I55" i="4" s="1"/>
  <c r="V19" i="4"/>
  <c r="F19" i="4" s="1"/>
  <c r="T45" i="4"/>
  <c r="D45" i="4" s="1"/>
  <c r="V38" i="4"/>
  <c r="F38" i="4" s="1"/>
  <c r="V18" i="4"/>
  <c r="F18" i="4" s="1"/>
  <c r="Y56" i="4"/>
  <c r="I56" i="4" s="1"/>
  <c r="S74" i="4"/>
  <c r="C74" i="4" s="1"/>
  <c r="T65" i="4"/>
  <c r="D65" i="4" s="1"/>
  <c r="Y37" i="4"/>
  <c r="I37" i="4" s="1"/>
  <c r="U60" i="4"/>
  <c r="E60" i="4" s="1"/>
  <c r="T76" i="4"/>
  <c r="D76" i="4" s="1"/>
  <c r="X23" i="4"/>
  <c r="H23" i="4" s="1"/>
  <c r="S14" i="4"/>
  <c r="C14" i="4" s="1"/>
  <c r="V73" i="4"/>
  <c r="F73" i="4" s="1"/>
  <c r="S22" i="4"/>
  <c r="C22" i="4" s="1"/>
  <c r="V61" i="4"/>
  <c r="F61" i="4" s="1"/>
  <c r="V31" i="4"/>
  <c r="F31" i="4" s="1"/>
  <c r="V30" i="4"/>
  <c r="F30" i="4" s="1"/>
  <c r="V34" i="4"/>
  <c r="F34" i="4" s="1"/>
  <c r="V25" i="4"/>
  <c r="F25" i="4" s="1"/>
  <c r="W32" i="4"/>
  <c r="G32" i="4" s="1"/>
  <c r="X9" i="4"/>
  <c r="H9" i="4" s="1"/>
  <c r="U46" i="4"/>
  <c r="E46" i="4" s="1"/>
  <c r="X69" i="4"/>
  <c r="H69" i="4" s="1"/>
  <c r="Y74" i="4"/>
  <c r="I74" i="4" s="1"/>
  <c r="Y69" i="4"/>
  <c r="I69" i="4" s="1"/>
  <c r="U71" i="4"/>
  <c r="E71" i="4" s="1"/>
  <c r="W44" i="4"/>
  <c r="G44" i="4" s="1"/>
  <c r="S36" i="4"/>
  <c r="C36" i="4" s="1"/>
  <c r="W39" i="4"/>
  <c r="G39" i="4" s="1"/>
  <c r="U26" i="4"/>
  <c r="E26" i="4" s="1"/>
  <c r="U61" i="4"/>
  <c r="E61" i="4" s="1"/>
  <c r="V29" i="4"/>
  <c r="F29" i="4" s="1"/>
  <c r="W53" i="4"/>
  <c r="G53" i="4" s="1"/>
  <c r="T77" i="4"/>
  <c r="D77" i="4" s="1"/>
  <c r="U73" i="4"/>
  <c r="E73" i="4" s="1"/>
  <c r="T26" i="4"/>
  <c r="D26" i="4" s="1"/>
  <c r="T57" i="4"/>
  <c r="D57" i="4" s="1"/>
  <c r="T74" i="4"/>
  <c r="D74" i="4" s="1"/>
  <c r="Y25" i="4"/>
  <c r="I25" i="4" s="1"/>
  <c r="V53" i="4"/>
  <c r="F53" i="4" s="1"/>
  <c r="U75" i="4"/>
  <c r="E75" i="4" s="1"/>
  <c r="V47" i="4"/>
  <c r="F47" i="4" s="1"/>
  <c r="S68" i="4"/>
  <c r="C68" i="4" s="1"/>
  <c r="S43" i="4"/>
  <c r="C43" i="4" s="1"/>
  <c r="T28" i="4"/>
  <c r="D28" i="4" s="1"/>
  <c r="W28" i="4"/>
  <c r="G28" i="4" s="1"/>
  <c r="W19" i="4"/>
  <c r="G19" i="4" s="1"/>
  <c r="V58" i="4"/>
  <c r="F58" i="4" s="1"/>
  <c r="W21" i="4"/>
  <c r="G21" i="4" s="1"/>
  <c r="T59" i="4"/>
  <c r="D59" i="4" s="1"/>
  <c r="V28" i="4"/>
  <c r="F28" i="4" s="1"/>
  <c r="V77" i="4"/>
  <c r="F77" i="4" s="1"/>
  <c r="V66" i="4"/>
  <c r="F66" i="4" s="1"/>
  <c r="V78" i="4"/>
  <c r="F78" i="4" s="1"/>
  <c r="T47" i="4"/>
  <c r="D47" i="4" s="1"/>
  <c r="W18" i="4"/>
  <c r="G18" i="4" s="1"/>
  <c r="U9" i="4"/>
  <c r="E9" i="4" s="1"/>
  <c r="U15" i="4"/>
  <c r="E15" i="4" s="1"/>
  <c r="X61" i="4"/>
  <c r="H61" i="4" s="1"/>
  <c r="V46" i="4"/>
  <c r="F46" i="4" s="1"/>
  <c r="S75" i="4"/>
  <c r="C75" i="4" s="1"/>
  <c r="U53" i="4"/>
  <c r="E53" i="4" s="1"/>
  <c r="Y62" i="4"/>
  <c r="I62" i="4" s="1"/>
  <c r="W72" i="4"/>
  <c r="G72" i="4" s="1"/>
  <c r="S63" i="4"/>
  <c r="C63" i="4" s="1"/>
  <c r="Y57" i="4"/>
  <c r="I57" i="4" s="1"/>
  <c r="U42" i="4"/>
  <c r="E42" i="4" s="1"/>
  <c r="V55" i="4"/>
  <c r="F55" i="4" s="1"/>
  <c r="W43" i="4"/>
  <c r="G43" i="4" s="1"/>
  <c r="S26" i="4"/>
  <c r="C26" i="4" s="1"/>
  <c r="U36" i="4"/>
  <c r="E36" i="4" s="1"/>
  <c r="U76" i="4"/>
  <c r="E76" i="4" s="1"/>
  <c r="X57" i="4"/>
  <c r="H57" i="4" s="1"/>
  <c r="Y16" i="4"/>
  <c r="I16" i="4" s="1"/>
  <c r="Y52" i="4"/>
  <c r="I52" i="4" s="1"/>
  <c r="Y18" i="4"/>
  <c r="I18" i="4" s="1"/>
  <c r="Y45" i="4"/>
  <c r="I45" i="4" s="1"/>
  <c r="V62" i="4"/>
  <c r="F62" i="4" s="1"/>
  <c r="T43" i="4"/>
  <c r="D43" i="4" s="1"/>
  <c r="S25" i="4"/>
  <c r="C25" i="4" s="1"/>
  <c r="W24" i="4"/>
  <c r="G24" i="4" s="1"/>
  <c r="W64" i="4"/>
  <c r="G64" i="4" s="1"/>
  <c r="V27" i="4"/>
  <c r="F27" i="4" s="1"/>
  <c r="T56" i="4"/>
  <c r="D56" i="4" s="1"/>
  <c r="Y30" i="4"/>
  <c r="I30" i="4" s="1"/>
  <c r="U58" i="4"/>
  <c r="E58" i="4" s="1"/>
  <c r="W29" i="4"/>
  <c r="G29" i="4" s="1"/>
  <c r="X25" i="4"/>
  <c r="H25" i="4" s="1"/>
  <c r="X55" i="4"/>
  <c r="H55" i="4" s="1"/>
  <c r="V35" i="4"/>
  <c r="F35" i="4" s="1"/>
  <c r="V59" i="4"/>
  <c r="F59" i="4" s="1"/>
  <c r="Y31" i="4"/>
  <c r="I31" i="4" s="1"/>
  <c r="W77" i="4"/>
  <c r="G77" i="4" s="1"/>
  <c r="T29" i="4"/>
  <c r="D29" i="4" s="1"/>
  <c r="X49" i="4"/>
  <c r="H49" i="4" s="1"/>
  <c r="U70" i="4"/>
  <c r="E70" i="4" s="1"/>
  <c r="T44" i="4"/>
  <c r="D44" i="4" s="1"/>
  <c r="U29" i="4"/>
  <c r="E29" i="4" s="1"/>
  <c r="S32" i="4"/>
  <c r="C32" i="4" s="1"/>
  <c r="Y21" i="4"/>
  <c r="I21" i="4" s="1"/>
  <c r="W59" i="4"/>
  <c r="G59" i="4" s="1"/>
  <c r="U69" i="4"/>
  <c r="E69" i="4" s="1"/>
  <c r="W27" i="4"/>
  <c r="G27" i="4" s="1"/>
  <c r="Y72" i="4"/>
  <c r="I72" i="4" s="1"/>
  <c r="U43" i="4"/>
  <c r="E43" i="4" s="1"/>
  <c r="T52" i="4"/>
  <c r="D52" i="4" s="1"/>
  <c r="U33" i="4"/>
  <c r="E33" i="4" s="1"/>
  <c r="W74" i="4"/>
  <c r="G74" i="4" s="1"/>
  <c r="T23" i="4"/>
  <c r="D23" i="4" s="1"/>
  <c r="D31" i="17" s="1"/>
  <c r="D42" i="17" s="1"/>
  <c r="U24" i="4"/>
  <c r="E24" i="4" s="1"/>
  <c r="T22" i="4"/>
  <c r="D22" i="4" s="1"/>
  <c r="S29" i="4"/>
  <c r="C29" i="4" s="1"/>
  <c r="Y27" i="4"/>
  <c r="I27" i="4" s="1"/>
  <c r="T30" i="4"/>
  <c r="D30" i="4" s="1"/>
  <c r="T46" i="4"/>
  <c r="D46" i="4" s="1"/>
  <c r="V57" i="4"/>
  <c r="F57" i="4" s="1"/>
  <c r="X34" i="4"/>
  <c r="H34" i="4" s="1"/>
  <c r="S17" i="4"/>
  <c r="C17" i="4" s="1"/>
  <c r="V48" i="4"/>
  <c r="F48" i="4" s="1"/>
  <c r="W49" i="4"/>
  <c r="G49" i="4" s="1"/>
  <c r="Y51" i="4"/>
  <c r="I51" i="4" s="1"/>
  <c r="U44" i="4"/>
  <c r="E44" i="4" s="1"/>
  <c r="X13" i="4"/>
  <c r="H13" i="4" s="1"/>
  <c r="V43" i="4"/>
  <c r="F43" i="4" s="1"/>
  <c r="W60" i="4"/>
  <c r="G60" i="4" s="1"/>
  <c r="X22" i="4"/>
  <c r="H22" i="4" s="1"/>
  <c r="U51" i="4"/>
  <c r="E51" i="4" s="1"/>
  <c r="Y13" i="4"/>
  <c r="I13" i="4" s="1"/>
  <c r="U22" i="4"/>
  <c r="E22" i="4" s="1"/>
  <c r="Y34" i="4"/>
  <c r="I34" i="4" s="1"/>
  <c r="W48" i="4"/>
  <c r="G48" i="4" s="1"/>
  <c r="T61" i="4"/>
  <c r="D61" i="4" s="1"/>
  <c r="X73" i="4"/>
  <c r="H73" i="4" s="1"/>
  <c r="X40" i="4"/>
  <c r="H40" i="4" s="1"/>
  <c r="Y17" i="4"/>
  <c r="I17" i="4" s="1"/>
  <c r="X32" i="4"/>
  <c r="H32" i="4" s="1"/>
  <c r="S24" i="4"/>
  <c r="C24" i="4" s="1"/>
  <c r="W68" i="4"/>
  <c r="G68" i="4" s="1"/>
  <c r="X20" i="4"/>
  <c r="H20" i="4" s="1"/>
  <c r="S47" i="4"/>
  <c r="C47" i="4" s="1"/>
  <c r="X60" i="4"/>
  <c r="H60" i="4" s="1"/>
  <c r="W75" i="4"/>
  <c r="G75" i="4" s="1"/>
  <c r="U77" i="4"/>
  <c r="E77" i="4" s="1"/>
  <c r="E32" i="17" s="1"/>
  <c r="T18" i="4"/>
  <c r="D18" i="4" s="1"/>
  <c r="Y71" i="4"/>
  <c r="I71" i="4" s="1"/>
  <c r="U67" i="4"/>
  <c r="E67" i="4" s="1"/>
  <c r="T33" i="4"/>
  <c r="D33" i="4" s="1"/>
  <c r="T49" i="4"/>
  <c r="D49" i="4" s="1"/>
  <c r="U20" i="4"/>
  <c r="E20" i="4" s="1"/>
  <c r="S51" i="4"/>
  <c r="C51" i="4" s="1"/>
  <c r="W63" i="4"/>
  <c r="G63" i="4" s="1"/>
  <c r="V45" i="4"/>
  <c r="F45" i="4" s="1"/>
  <c r="X77" i="4"/>
  <c r="H77" i="4" s="1"/>
  <c r="H32" i="17" s="1"/>
  <c r="X36" i="4"/>
  <c r="H36" i="4" s="1"/>
  <c r="V12" i="4"/>
  <c r="F12" i="4" s="1"/>
  <c r="U32" i="4"/>
  <c r="E32" i="4" s="1"/>
  <c r="Y60" i="4"/>
  <c r="I60" i="4" s="1"/>
  <c r="Y28" i="4"/>
  <c r="I28" i="4" s="1"/>
  <c r="X59" i="4"/>
  <c r="H59" i="4" s="1"/>
  <c r="Y11" i="4"/>
  <c r="I11" i="4" s="1"/>
  <c r="V32" i="4"/>
  <c r="F32" i="4" s="1"/>
  <c r="X58" i="4"/>
  <c r="H58" i="4" s="1"/>
  <c r="W34" i="4"/>
  <c r="G34" i="4" s="1"/>
  <c r="S62" i="4"/>
  <c r="C62" i="4" s="1"/>
  <c r="T31" i="4"/>
  <c r="D31" i="4" s="1"/>
  <c r="T63" i="4"/>
  <c r="D63" i="4" s="1"/>
  <c r="T14" i="4"/>
  <c r="D14" i="4" s="1"/>
  <c r="W33" i="4"/>
  <c r="G33" i="4" s="1"/>
  <c r="T62" i="4"/>
  <c r="D62" i="4" s="1"/>
  <c r="U63" i="4"/>
  <c r="E63" i="4" s="1"/>
  <c r="U41" i="4"/>
  <c r="E41" i="4" s="1"/>
  <c r="W35" i="4"/>
  <c r="G35" i="4" s="1"/>
  <c r="V54" i="4"/>
  <c r="F54" i="4" s="1"/>
  <c r="S67" i="4"/>
  <c r="C67" i="4" s="1"/>
  <c r="V44" i="4"/>
  <c r="F44" i="4" s="1"/>
  <c r="S53" i="4"/>
  <c r="C53" i="4" s="1"/>
  <c r="Y75" i="4"/>
  <c r="I75" i="4" s="1"/>
  <c r="T15" i="4"/>
  <c r="D15" i="4" s="1"/>
  <c r="T39" i="4"/>
  <c r="D39" i="4" s="1"/>
  <c r="W66" i="4"/>
  <c r="G66" i="4" s="1"/>
  <c r="X35" i="4"/>
  <c r="H35" i="4" s="1"/>
  <c r="X67" i="4"/>
  <c r="H67" i="4" s="1"/>
  <c r="V16" i="4"/>
  <c r="F16" i="4" s="1"/>
  <c r="V40" i="4"/>
  <c r="F40" i="4" s="1"/>
  <c r="V64" i="4"/>
  <c r="F64" i="4" s="1"/>
  <c r="V41" i="4"/>
  <c r="F41" i="4" s="1"/>
  <c r="Y68" i="4"/>
  <c r="I68" i="4" s="1"/>
  <c r="S38" i="4"/>
  <c r="C38" i="4" s="1"/>
  <c r="U72" i="4"/>
  <c r="E72" i="4" s="1"/>
  <c r="W17" i="4"/>
  <c r="G17" i="4" s="1"/>
  <c r="X42" i="4"/>
  <c r="H42" i="4" s="1"/>
  <c r="W65" i="4"/>
  <c r="G65" i="4" s="1"/>
  <c r="W76" i="4"/>
  <c r="G76" i="4" s="1"/>
  <c r="T24" i="4"/>
  <c r="D24" i="4" s="1"/>
  <c r="V50" i="4"/>
  <c r="F50" i="4" s="1"/>
  <c r="T64" i="4"/>
  <c r="D64" i="4" s="1"/>
  <c r="T9" i="4"/>
  <c r="D9" i="4" s="1"/>
  <c r="X15" i="4"/>
  <c r="H15" i="4" s="1"/>
  <c r="U12" i="4"/>
  <c r="E12" i="4" s="1"/>
  <c r="S10" i="4"/>
  <c r="C10" i="4" s="1"/>
  <c r="S34" i="4"/>
  <c r="C34" i="4" s="1"/>
  <c r="U28" i="4"/>
  <c r="E28" i="4" s="1"/>
  <c r="X63" i="4"/>
  <c r="H63" i="4" s="1"/>
  <c r="Y22" i="4"/>
  <c r="I22" i="4" s="1"/>
  <c r="S48" i="4"/>
  <c r="C48" i="4" s="1"/>
  <c r="T73" i="4"/>
  <c r="D73" i="4" s="1"/>
  <c r="S33" i="4"/>
  <c r="C33" i="4" s="1"/>
  <c r="Y63" i="4"/>
  <c r="I63" i="4" s="1"/>
  <c r="U14" i="4"/>
  <c r="E14" i="4" s="1"/>
  <c r="Y26" i="4"/>
  <c r="I26" i="4" s="1"/>
  <c r="V39" i="4"/>
  <c r="F39" i="4" s="1"/>
  <c r="T53" i="4"/>
  <c r="D53" i="4" s="1"/>
  <c r="X65" i="4"/>
  <c r="H65" i="4" s="1"/>
  <c r="U78" i="4"/>
  <c r="E78" i="4" s="1"/>
  <c r="W47" i="4"/>
  <c r="G47" i="4" s="1"/>
  <c r="V22" i="4"/>
  <c r="F22" i="4" s="1"/>
  <c r="Y41" i="4"/>
  <c r="I41" i="4" s="1"/>
  <c r="Y38" i="4"/>
  <c r="I38" i="4" s="1"/>
  <c r="Y78" i="4"/>
  <c r="I78" i="4" s="1"/>
  <c r="U25" i="4"/>
  <c r="E25" i="4" s="1"/>
  <c r="W51" i="4"/>
  <c r="G51" i="4" s="1"/>
  <c r="U65" i="4"/>
  <c r="E65" i="4" s="1"/>
  <c r="Y15" i="4"/>
  <c r="I15" i="4" s="1"/>
  <c r="S49" i="4"/>
  <c r="C49" i="4" s="1"/>
  <c r="T58" i="4"/>
  <c r="D58" i="4" s="1"/>
  <c r="S56" i="4"/>
  <c r="C56" i="4" s="1"/>
  <c r="Y9" i="4"/>
  <c r="I9" i="4" s="1"/>
  <c r="Y24" i="4"/>
  <c r="I24" i="4" s="1"/>
  <c r="Y47" i="4"/>
  <c r="I47" i="4" s="1"/>
  <c r="Y40" i="4"/>
  <c r="I40" i="4" s="1"/>
  <c r="W55" i="4"/>
  <c r="G55" i="4" s="1"/>
  <c r="T68" i="4"/>
  <c r="D68" i="4" s="1"/>
  <c r="W62" i="4"/>
  <c r="G62" i="4" s="1"/>
  <c r="X70" i="4"/>
  <c r="H70" i="4" s="1"/>
  <c r="V9" i="4"/>
  <c r="F9" i="4" s="1"/>
  <c r="U16" i="4"/>
  <c r="E16" i="4" s="1"/>
  <c r="Y64" i="4"/>
  <c r="I64" i="4" s="1"/>
  <c r="T25" i="4"/>
  <c r="D25" i="4" s="1"/>
  <c r="U50" i="4"/>
  <c r="E50" i="4" s="1"/>
  <c r="U74" i="4"/>
  <c r="E74" i="4" s="1"/>
  <c r="V36" i="4"/>
  <c r="F36" i="4" s="1"/>
  <c r="V68" i="4"/>
  <c r="F68" i="4" s="1"/>
  <c r="V15" i="4"/>
  <c r="F15" i="4" s="1"/>
  <c r="S28" i="4"/>
  <c r="C28" i="4" s="1"/>
  <c r="W40" i="4"/>
  <c r="G40" i="4" s="1"/>
  <c r="U54" i="4"/>
  <c r="E54" i="4" s="1"/>
  <c r="Y66" i="4"/>
  <c r="I66" i="4" s="1"/>
  <c r="W9" i="4"/>
  <c r="G9" i="4" s="1"/>
  <c r="Y49" i="4"/>
  <c r="I49" i="4" s="1"/>
  <c r="X24" i="4"/>
  <c r="H24" i="4" s="1"/>
  <c r="U45" i="4"/>
  <c r="E45" i="4" s="1"/>
  <c r="S40" i="4"/>
  <c r="C40" i="4" s="1"/>
  <c r="W11" i="4"/>
  <c r="G11" i="4" s="1"/>
  <c r="V26" i="4"/>
  <c r="F26" i="4" s="1"/>
  <c r="X52" i="4"/>
  <c r="H52" i="4" s="1"/>
  <c r="X68" i="4"/>
  <c r="H68" i="4" s="1"/>
  <c r="V10" i="4"/>
  <c r="F10" i="4" s="1"/>
  <c r="U19" i="4"/>
  <c r="E19" i="4" s="1"/>
  <c r="U34" i="4"/>
  <c r="E34" i="4" s="1"/>
  <c r="Y23" i="4"/>
  <c r="I23" i="4" s="1"/>
  <c r="I31" i="17" s="1"/>
  <c r="I42" i="17" s="1"/>
  <c r="V42" i="4"/>
  <c r="F42" i="4" s="1"/>
  <c r="S18" i="4"/>
  <c r="C18" i="4" s="1"/>
  <c r="W46" i="4"/>
  <c r="G46" i="4" s="1"/>
  <c r="T32" i="4"/>
  <c r="D32" i="4" s="1"/>
  <c r="X56" i="4"/>
  <c r="H56" i="4" s="1"/>
  <c r="V70" i="4"/>
  <c r="F70" i="4" s="1"/>
  <c r="T67" i="4"/>
  <c r="D67" i="4" s="1"/>
  <c r="S50" i="4"/>
  <c r="C50" i="4" s="1"/>
  <c r="S57" i="4"/>
  <c r="C57" i="4" s="1"/>
  <c r="V17" i="4"/>
  <c r="F17" i="4" s="1"/>
  <c r="X43" i="4"/>
  <c r="H43" i="4" s="1"/>
  <c r="T71" i="4"/>
  <c r="D71" i="4" s="1"/>
  <c r="U40" i="4"/>
  <c r="E40" i="4" s="1"/>
  <c r="S78" i="4"/>
  <c r="C78" i="4" s="1"/>
  <c r="X18" i="4"/>
  <c r="H18" i="4" s="1"/>
  <c r="Y43" i="4"/>
  <c r="I43" i="4" s="1"/>
  <c r="Y67" i="4"/>
  <c r="I67" i="4" s="1"/>
  <c r="T70" i="4"/>
  <c r="D70" i="4" s="1"/>
  <c r="S41" i="4"/>
  <c r="C41" i="4" s="1"/>
  <c r="S73" i="4"/>
  <c r="C73" i="4" s="1"/>
  <c r="X17" i="4"/>
  <c r="H17" i="4" s="1"/>
  <c r="U30" i="4"/>
  <c r="E30" i="4" s="1"/>
  <c r="Y42" i="4"/>
  <c r="I42" i="4" s="1"/>
  <c r="W56" i="4"/>
  <c r="G56" i="4" s="1"/>
  <c r="T69" i="4"/>
  <c r="D69" i="4" s="1"/>
  <c r="W31" i="4"/>
  <c r="G31" i="4" s="1"/>
  <c r="T12" i="4"/>
  <c r="D12" i="4" s="1"/>
  <c r="S27" i="4"/>
  <c r="C27" i="4" s="1"/>
  <c r="X78" i="4"/>
  <c r="H78" i="4" s="1"/>
  <c r="Y54" i="4"/>
  <c r="I54" i="4" s="1"/>
  <c r="T16" i="4"/>
  <c r="D16" i="4" s="1"/>
  <c r="S31" i="4"/>
  <c r="C31" i="4" s="1"/>
  <c r="S55" i="4"/>
  <c r="C55" i="4" s="1"/>
  <c r="S71" i="4"/>
  <c r="C71" i="4" s="1"/>
  <c r="X30" i="4"/>
  <c r="H30" i="4" s="1"/>
  <c r="W70" i="4"/>
  <c r="G70" i="4" s="1"/>
  <c r="W13" i="4"/>
  <c r="G13" i="4" s="1"/>
  <c r="U27" i="4"/>
  <c r="E27" i="4" s="1"/>
  <c r="V20" i="4"/>
  <c r="F20" i="4" s="1"/>
  <c r="T11" i="4"/>
  <c r="D11" i="4" s="1"/>
  <c r="U31" i="4"/>
  <c r="E31" i="4" s="1"/>
  <c r="S39" i="4"/>
  <c r="C39" i="4" s="1"/>
  <c r="S59" i="4"/>
  <c r="C59" i="4" s="1"/>
  <c r="X72" i="4"/>
  <c r="H72" i="4" s="1"/>
  <c r="V60" i="4"/>
  <c r="F60" i="4" s="1"/>
  <c r="T19" i="4"/>
  <c r="D19" i="4" s="1"/>
  <c r="W14" i="4"/>
  <c r="G14" i="4" s="1"/>
  <c r="Y20" i="4"/>
  <c r="I20" i="4" s="1"/>
  <c r="V49" i="4"/>
  <c r="F49" i="4" s="1"/>
  <c r="Y76" i="4"/>
  <c r="I76" i="4" s="1"/>
  <c r="W50" i="4"/>
  <c r="G50" i="4" s="1"/>
  <c r="V56" i="4"/>
  <c r="F56" i="4" s="1"/>
  <c r="X26" i="4"/>
  <c r="H26" i="4" s="1"/>
  <c r="U47" i="4"/>
  <c r="E47" i="4" s="1"/>
  <c r="V72" i="4"/>
  <c r="F72" i="4" s="1"/>
  <c r="W73" i="4"/>
  <c r="G73" i="4" s="1"/>
  <c r="Y19" i="4"/>
  <c r="I19" i="4" s="1"/>
  <c r="Y35" i="4"/>
  <c r="I35" i="4" s="1"/>
  <c r="U55" i="4"/>
  <c r="E55" i="4" s="1"/>
  <c r="X74" i="4"/>
  <c r="H74" i="4" s="1"/>
  <c r="S21" i="4"/>
  <c r="C21" i="4" s="1"/>
  <c r="T38" i="4"/>
  <c r="D38" i="4" s="1"/>
  <c r="W57" i="4"/>
  <c r="G57" i="4" s="1"/>
  <c r="S77" i="4"/>
  <c r="C77" i="4" s="1"/>
  <c r="T66" i="4"/>
  <c r="D66" i="4" s="1"/>
  <c r="S66" i="4"/>
  <c r="C66" i="4" s="1"/>
  <c r="V24" i="4"/>
  <c r="F24" i="4" s="1"/>
  <c r="W41" i="4"/>
  <c r="G41" i="4" s="1"/>
  <c r="S61" i="4"/>
  <c r="C61" i="4" s="1"/>
  <c r="X47" i="4"/>
  <c r="H47" i="4" s="1"/>
  <c r="T27" i="4"/>
  <c r="D27" i="4" s="1"/>
  <c r="V69" i="4"/>
  <c r="F69" i="4" s="1"/>
  <c r="U148" i="4"/>
  <c r="E148" i="4" s="1"/>
  <c r="W42" i="4"/>
  <c r="G42" i="4" s="1"/>
  <c r="S70" i="4"/>
  <c r="C70" i="4" s="1"/>
  <c r="X10" i="4"/>
  <c r="H10" i="4" s="1"/>
  <c r="U23" i="4"/>
  <c r="E23" i="4" s="1"/>
  <c r="S37" i="4"/>
  <c r="C37" i="4" s="1"/>
  <c r="X50" i="4"/>
  <c r="H50" i="4" s="1"/>
  <c r="X66" i="4"/>
  <c r="H66" i="4" s="1"/>
  <c r="T42" i="4"/>
  <c r="D42" i="4" s="1"/>
  <c r="S92" i="4"/>
  <c r="C92" i="4" s="1"/>
  <c r="Y179" i="4"/>
  <c r="I179" i="4" s="1"/>
  <c r="Y185" i="4"/>
  <c r="I185" i="4" s="1"/>
  <c r="S90" i="4"/>
  <c r="C90" i="4" s="1"/>
  <c r="X11" i="4"/>
  <c r="H11" i="4" s="1"/>
  <c r="S30" i="4"/>
  <c r="C30" i="4" s="1"/>
  <c r="U56" i="4"/>
  <c r="E56" i="4" s="1"/>
  <c r="W10" i="4"/>
  <c r="G10" i="4" s="1"/>
  <c r="U48" i="4"/>
  <c r="E48" i="4" s="1"/>
  <c r="X75" i="4"/>
  <c r="H75" i="4" s="1"/>
  <c r="S13" i="4"/>
  <c r="C13" i="4" s="1"/>
  <c r="W25" i="4"/>
  <c r="G25" i="4" s="1"/>
  <c r="U39" i="4"/>
  <c r="E39" i="4" s="1"/>
  <c r="T54" i="4"/>
  <c r="D54" i="4" s="1"/>
  <c r="S69" i="4"/>
  <c r="C69" i="4" s="1"/>
  <c r="S45" i="4"/>
  <c r="C45" i="4" s="1"/>
  <c r="X111" i="4"/>
  <c r="H111" i="4" s="1"/>
  <c r="Y184" i="4"/>
  <c r="I184" i="4" s="1"/>
  <c r="S124" i="4"/>
  <c r="C124" i="4" s="1"/>
  <c r="S132" i="4"/>
  <c r="C132" i="4" s="1"/>
  <c r="Y120" i="4"/>
  <c r="I120" i="4" s="1"/>
  <c r="W91" i="4"/>
  <c r="G91" i="4" s="1"/>
  <c r="X105" i="4"/>
  <c r="H105" i="4" s="1"/>
  <c r="V101" i="4"/>
  <c r="F101" i="4" s="1"/>
  <c r="T149" i="4"/>
  <c r="D149" i="4" s="1"/>
  <c r="T131" i="4"/>
  <c r="D131" i="4" s="1"/>
  <c r="V112" i="4"/>
  <c r="F112" i="4" s="1"/>
  <c r="Y136" i="4"/>
  <c r="I136" i="4" s="1"/>
  <c r="X127" i="4"/>
  <c r="H127" i="4" s="1"/>
  <c r="T138" i="4"/>
  <c r="D138" i="4" s="1"/>
  <c r="X126" i="4"/>
  <c r="H126" i="4" s="1"/>
  <c r="Y91" i="4"/>
  <c r="I91" i="4" s="1"/>
  <c r="S117" i="4"/>
  <c r="C117" i="4" s="1"/>
  <c r="V140" i="4"/>
  <c r="F140" i="4" s="1"/>
  <c r="Y152" i="4"/>
  <c r="I152" i="4" s="1"/>
  <c r="Y163" i="4"/>
  <c r="I163" i="4" s="1"/>
  <c r="X94" i="4"/>
  <c r="H94" i="4" s="1"/>
  <c r="Y111" i="4"/>
  <c r="I111" i="4" s="1"/>
  <c r="X143" i="4"/>
  <c r="H143" i="4" s="1"/>
  <c r="U108" i="4"/>
  <c r="E108" i="4" s="1"/>
  <c r="S138" i="4"/>
  <c r="C138" i="4" s="1"/>
  <c r="Y137" i="4"/>
  <c r="I137" i="4" s="1"/>
  <c r="U85" i="4"/>
  <c r="E85" i="4" s="1"/>
  <c r="U111" i="4"/>
  <c r="E111" i="4" s="1"/>
  <c r="T150" i="4"/>
  <c r="D150" i="4" s="1"/>
  <c r="T106" i="4"/>
  <c r="D106" i="4" s="1"/>
  <c r="T140" i="4"/>
  <c r="D140" i="4" s="1"/>
  <c r="X134" i="4"/>
  <c r="H134" i="4" s="1"/>
  <c r="V96" i="4"/>
  <c r="F96" i="4" s="1"/>
  <c r="V128" i="4"/>
  <c r="F128" i="4" s="1"/>
  <c r="S113" i="4"/>
  <c r="C113" i="4" s="1"/>
  <c r="Y127" i="4"/>
  <c r="I127" i="4" s="1"/>
  <c r="V93" i="4"/>
  <c r="F93" i="4" s="1"/>
  <c r="X104" i="4"/>
  <c r="H104" i="4" s="1"/>
  <c r="W128" i="4"/>
  <c r="G128" i="4" s="1"/>
  <c r="T101" i="4"/>
  <c r="D101" i="4" s="1"/>
  <c r="X146" i="4"/>
  <c r="H146" i="4" s="1"/>
  <c r="S139" i="4"/>
  <c r="C139" i="4" s="1"/>
  <c r="U102" i="4"/>
  <c r="E102" i="4" s="1"/>
  <c r="W120" i="4"/>
  <c r="G120" i="4" s="1"/>
  <c r="T148" i="4"/>
  <c r="D148" i="4" s="1"/>
  <c r="Y96" i="4"/>
  <c r="I96" i="4" s="1"/>
  <c r="X120" i="4"/>
  <c r="H120" i="4" s="1"/>
  <c r="S85" i="4"/>
  <c r="C85" i="4" s="1"/>
  <c r="W89" i="4"/>
  <c r="G89" i="4" s="1"/>
  <c r="U107" i="4"/>
  <c r="E107" i="4" s="1"/>
  <c r="T139" i="4"/>
  <c r="D139" i="4" s="1"/>
  <c r="U129" i="4"/>
  <c r="E129" i="4" s="1"/>
  <c r="W118" i="4"/>
  <c r="G118" i="4" s="1"/>
  <c r="S131" i="4"/>
  <c r="C131" i="4" s="1"/>
  <c r="X150" i="4"/>
  <c r="H150" i="4" s="1"/>
  <c r="X106" i="4"/>
  <c r="H106" i="4" s="1"/>
  <c r="Y143" i="4"/>
  <c r="I143" i="4" s="1"/>
  <c r="T102" i="4"/>
  <c r="D102" i="4" s="1"/>
  <c r="U133" i="4"/>
  <c r="E133" i="4" s="1"/>
  <c r="S129" i="4"/>
  <c r="C129" i="4" s="1"/>
  <c r="S93" i="4"/>
  <c r="C93" i="4" s="1"/>
  <c r="Y123" i="4"/>
  <c r="I123" i="4" s="1"/>
  <c r="Y139" i="4"/>
  <c r="I139" i="4" s="1"/>
  <c r="Y147" i="4"/>
  <c r="I147" i="4" s="1"/>
  <c r="T94" i="4"/>
  <c r="D94" i="4" s="1"/>
  <c r="S109" i="4"/>
  <c r="C109" i="4" s="1"/>
  <c r="Y88" i="4"/>
  <c r="I88" i="4" s="1"/>
  <c r="T100" i="4"/>
  <c r="D100" i="4" s="1"/>
  <c r="V95" i="4"/>
  <c r="F95" i="4" s="1"/>
  <c r="X122" i="4"/>
  <c r="H122" i="4" s="1"/>
  <c r="V102" i="4"/>
  <c r="F102" i="4" s="1"/>
  <c r="S107" i="4"/>
  <c r="C107" i="4" s="1"/>
  <c r="X93" i="4"/>
  <c r="H93" i="4" s="1"/>
  <c r="S112" i="4"/>
  <c r="C112" i="4" s="1"/>
  <c r="S135" i="4"/>
  <c r="C135" i="4" s="1"/>
  <c r="T117" i="4"/>
  <c r="D117" i="4" s="1"/>
  <c r="X152" i="4"/>
  <c r="H152" i="4" s="1"/>
  <c r="V135" i="4"/>
  <c r="F135" i="4" s="1"/>
  <c r="T122" i="4"/>
  <c r="D122" i="4" s="1"/>
  <c r="U87" i="4"/>
  <c r="E87" i="4" s="1"/>
  <c r="U103" i="4"/>
  <c r="E103" i="4" s="1"/>
  <c r="X119" i="4"/>
  <c r="H119" i="4" s="1"/>
  <c r="S127" i="4"/>
  <c r="C127" i="4" s="1"/>
  <c r="X101" i="4"/>
  <c r="H101" i="4" s="1"/>
  <c r="U92" i="4"/>
  <c r="E92" i="4" s="1"/>
  <c r="V126" i="4"/>
  <c r="F126" i="4" s="1"/>
  <c r="U143" i="4"/>
  <c r="E143" i="4" s="1"/>
  <c r="W101" i="4"/>
  <c r="G101" i="4" s="1"/>
  <c r="Y135" i="4"/>
  <c r="I135" i="4" s="1"/>
  <c r="W97" i="4"/>
  <c r="G97" i="4" s="1"/>
  <c r="T124" i="4"/>
  <c r="D124" i="4" s="1"/>
  <c r="V124" i="4"/>
  <c r="F124" i="4" s="1"/>
  <c r="X90" i="4"/>
  <c r="H90" i="4" s="1"/>
  <c r="U119" i="4"/>
  <c r="E119" i="4" s="1"/>
  <c r="X118" i="4"/>
  <c r="H118" i="4" s="1"/>
  <c r="U135" i="4"/>
  <c r="E135" i="4" s="1"/>
  <c r="X142" i="4"/>
  <c r="H142" i="4" s="1"/>
  <c r="V92" i="4"/>
  <c r="F92" i="4" s="1"/>
  <c r="T84" i="4"/>
  <c r="D84" i="4" s="1"/>
  <c r="Y122" i="4"/>
  <c r="I122" i="4" s="1"/>
  <c r="T89" i="4"/>
  <c r="D89" i="4" s="1"/>
  <c r="V104" i="4"/>
  <c r="F104" i="4" s="1"/>
  <c r="S148" i="4"/>
  <c r="C148" i="4" s="1"/>
  <c r="U142" i="4"/>
  <c r="E142" i="4" s="1"/>
  <c r="X89" i="4"/>
  <c r="H89" i="4" s="1"/>
  <c r="V103" i="4"/>
  <c r="F103" i="4" s="1"/>
  <c r="W111" i="4"/>
  <c r="G111" i="4" s="1"/>
  <c r="T109" i="4"/>
  <c r="D109" i="4" s="1"/>
  <c r="V134" i="4"/>
  <c r="F134" i="4" s="1"/>
  <c r="V127" i="4"/>
  <c r="F127" i="4" s="1"/>
  <c r="W117" i="4"/>
  <c r="G117" i="4" s="1"/>
  <c r="Y151" i="4"/>
  <c r="I151" i="4" s="1"/>
  <c r="X98" i="4"/>
  <c r="H98" i="4" s="1"/>
  <c r="T115" i="4"/>
  <c r="D115" i="4" s="1"/>
  <c r="Y101" i="4"/>
  <c r="I101" i="4" s="1"/>
  <c r="V99" i="4"/>
  <c r="F99" i="4" s="1"/>
  <c r="X87" i="4"/>
  <c r="H87" i="4" s="1"/>
  <c r="X112" i="4"/>
  <c r="H112" i="4" s="1"/>
  <c r="V136" i="4"/>
  <c r="F136" i="4" s="1"/>
  <c r="S97" i="4"/>
  <c r="C97" i="4" s="1"/>
  <c r="W129" i="4"/>
  <c r="G129" i="4" s="1"/>
  <c r="U151" i="4"/>
  <c r="E151" i="4" s="1"/>
  <c r="U117" i="4"/>
  <c r="E117" i="4" s="1"/>
  <c r="Y119" i="4"/>
  <c r="I119" i="4" s="1"/>
  <c r="V88" i="4"/>
  <c r="F88" i="4" s="1"/>
  <c r="X114" i="4"/>
  <c r="H114" i="4" s="1"/>
  <c r="U99" i="4"/>
  <c r="E99" i="4" s="1"/>
  <c r="W133" i="4"/>
  <c r="G133" i="4" s="1"/>
  <c r="T114" i="4"/>
  <c r="D114" i="4" s="1"/>
  <c r="W153" i="4"/>
  <c r="G153" i="4" s="1"/>
  <c r="U141" i="4"/>
  <c r="E141" i="4" s="1"/>
  <c r="W95" i="4"/>
  <c r="G95" i="4" s="1"/>
  <c r="V119" i="4"/>
  <c r="F119" i="4" s="1"/>
  <c r="U86" i="4"/>
  <c r="E86" i="4" s="1"/>
  <c r="W149" i="4"/>
  <c r="G149" i="4" s="1"/>
  <c r="Y118" i="4"/>
  <c r="I118" i="4" s="1"/>
  <c r="Y138" i="4"/>
  <c r="I138" i="4" s="1"/>
  <c r="T85" i="4"/>
  <c r="D85" i="4" s="1"/>
  <c r="V87" i="4"/>
  <c r="F87" i="4" s="1"/>
  <c r="X153" i="4"/>
  <c r="H153" i="4" s="1"/>
  <c r="Y106" i="4"/>
  <c r="I106" i="4" s="1"/>
  <c r="S145" i="4"/>
  <c r="C145" i="4" s="1"/>
  <c r="T86" i="4"/>
  <c r="D86" i="4" s="1"/>
  <c r="U100" i="4"/>
  <c r="E100" i="4" s="1"/>
  <c r="U97" i="4"/>
  <c r="E97" i="4" s="1"/>
  <c r="T97" i="4"/>
  <c r="D97" i="4" s="1"/>
  <c r="T147" i="4"/>
  <c r="D147" i="4" s="1"/>
  <c r="T108" i="4"/>
  <c r="D108" i="4" s="1"/>
  <c r="X130" i="4"/>
  <c r="H130" i="4" s="1"/>
  <c r="W93" i="4"/>
  <c r="G93" i="4" s="1"/>
  <c r="S125" i="4"/>
  <c r="C125" i="4" s="1"/>
  <c r="X138" i="4"/>
  <c r="H138" i="4" s="1"/>
  <c r="W103" i="4"/>
  <c r="G103" i="4" s="1"/>
  <c r="U115" i="4"/>
  <c r="E115" i="4" s="1"/>
  <c r="W85" i="4"/>
  <c r="G85" i="4" s="1"/>
  <c r="W109" i="4"/>
  <c r="G109" i="4" s="1"/>
  <c r="Y87" i="4"/>
  <c r="I87" i="4" s="1"/>
  <c r="W113" i="4"/>
  <c r="G113" i="4" s="1"/>
  <c r="V141" i="4"/>
  <c r="F141" i="4" s="1"/>
  <c r="U127" i="4"/>
  <c r="E127" i="4" s="1"/>
  <c r="T132" i="4"/>
  <c r="D132" i="4" s="1"/>
  <c r="W116" i="4"/>
  <c r="G116" i="4" s="1"/>
  <c r="U147" i="4"/>
  <c r="E147" i="4" s="1"/>
  <c r="W137" i="4"/>
  <c r="G137" i="4" s="1"/>
  <c r="Y104" i="4"/>
  <c r="I104" i="4" s="1"/>
  <c r="U130" i="4"/>
  <c r="E130" i="4" s="1"/>
  <c r="T116" i="4"/>
  <c r="D116" i="4" s="1"/>
  <c r="Y130" i="4"/>
  <c r="I130" i="4" s="1"/>
  <c r="X145" i="4"/>
  <c r="H145" i="4" s="1"/>
  <c r="W100" i="4"/>
  <c r="G100" i="4" s="1"/>
  <c r="S140" i="4"/>
  <c r="C140" i="4" s="1"/>
  <c r="Y98" i="4"/>
  <c r="I98" i="4" s="1"/>
  <c r="T98" i="4"/>
  <c r="D98" i="4" s="1"/>
  <c r="T126" i="4"/>
  <c r="D126" i="4" s="1"/>
  <c r="Y116" i="4"/>
  <c r="I116" i="4" s="1"/>
  <c r="W124" i="4"/>
  <c r="G124" i="4" s="1"/>
  <c r="T130" i="4"/>
  <c r="D130" i="4" s="1"/>
  <c r="W87" i="4"/>
  <c r="G87" i="4" s="1"/>
  <c r="V116" i="4"/>
  <c r="F116" i="4" s="1"/>
  <c r="X86" i="4"/>
  <c r="H86" i="4" s="1"/>
  <c r="X110" i="4"/>
  <c r="H110" i="4" s="1"/>
  <c r="T99" i="4"/>
  <c r="D99" i="4" s="1"/>
  <c r="W141" i="4"/>
  <c r="G141" i="4" s="1"/>
  <c r="V100" i="4"/>
  <c r="F100" i="4" s="1"/>
  <c r="T134" i="4"/>
  <c r="D134" i="4" s="1"/>
  <c r="X102" i="4"/>
  <c r="H102" i="4" s="1"/>
  <c r="Y126" i="4"/>
  <c r="I126" i="4" s="1"/>
  <c r="S121" i="4"/>
  <c r="C121" i="4" s="1"/>
  <c r="S149" i="4"/>
  <c r="C149" i="4" s="1"/>
  <c r="U139" i="4"/>
  <c r="E139" i="4" s="1"/>
  <c r="U84" i="4"/>
  <c r="E84" i="4" s="1"/>
  <c r="S144" i="4"/>
  <c r="C144" i="4" s="1"/>
  <c r="U116" i="4"/>
  <c r="E116" i="4" s="1"/>
  <c r="X109" i="4"/>
  <c r="H109" i="4" s="1"/>
  <c r="T133" i="4"/>
  <c r="D133" i="4" s="1"/>
  <c r="S88" i="4"/>
  <c r="C88" i="4" s="1"/>
  <c r="U91" i="4"/>
  <c r="E91" i="4" s="1"/>
  <c r="T110" i="4"/>
  <c r="D110" i="4" s="1"/>
  <c r="T118" i="4"/>
  <c r="D118" i="4" s="1"/>
  <c r="V108" i="4"/>
  <c r="F108" i="4" s="1"/>
  <c r="X137" i="4"/>
  <c r="H137" i="4" s="1"/>
  <c r="W86" i="4"/>
  <c r="G86" i="4" s="1"/>
  <c r="Y97" i="4"/>
  <c r="I97" i="4" s="1"/>
  <c r="X129" i="4"/>
  <c r="H129" i="4" s="1"/>
  <c r="S141" i="4"/>
  <c r="C141" i="4" s="1"/>
  <c r="W127" i="4"/>
  <c r="G127" i="4" s="1"/>
  <c r="U137" i="4"/>
  <c r="E137" i="4" s="1"/>
  <c r="T91" i="4"/>
  <c r="D91" i="4" s="1"/>
  <c r="Y89" i="4"/>
  <c r="I89" i="4" s="1"/>
  <c r="S137" i="4"/>
  <c r="C137" i="4" s="1"/>
  <c r="U131" i="4"/>
  <c r="E131" i="4" s="1"/>
  <c r="V144" i="4"/>
  <c r="F144" i="4" s="1"/>
  <c r="S89" i="4"/>
  <c r="C89" i="4" s="1"/>
  <c r="S105" i="4"/>
  <c r="C105" i="4" s="1"/>
  <c r="Y99" i="4"/>
  <c r="I99" i="4" s="1"/>
  <c r="Y84" i="4"/>
  <c r="I84" i="4" s="1"/>
  <c r="X113" i="4"/>
  <c r="H113" i="4" s="1"/>
  <c r="W130" i="4"/>
  <c r="G130" i="4" s="1"/>
  <c r="W152" i="4"/>
  <c r="G152" i="4" s="1"/>
  <c r="T93" i="4"/>
  <c r="D93" i="4" s="1"/>
  <c r="Y115" i="4"/>
  <c r="I115" i="4" s="1"/>
  <c r="W104" i="4"/>
  <c r="G104" i="4" s="1"/>
  <c r="Y95" i="4"/>
  <c r="I95" i="4" s="1"/>
  <c r="S153" i="4"/>
  <c r="C153" i="4" s="1"/>
  <c r="W102" i="4"/>
  <c r="G102" i="4" s="1"/>
  <c r="V120" i="4"/>
  <c r="F120" i="4" s="1"/>
  <c r="V148" i="4"/>
  <c r="F148" i="4" s="1"/>
  <c r="U95" i="4"/>
  <c r="E95" i="4" s="1"/>
  <c r="T142" i="4"/>
  <c r="D142" i="4" s="1"/>
  <c r="U110" i="4"/>
  <c r="E110" i="4" s="1"/>
  <c r="W143" i="4"/>
  <c r="G143" i="4" s="1"/>
  <c r="W144" i="4"/>
  <c r="G144" i="4" s="1"/>
  <c r="W88" i="4"/>
  <c r="G88" i="4" s="1"/>
  <c r="T146" i="4"/>
  <c r="D146" i="4" s="1"/>
  <c r="U118" i="4"/>
  <c r="E118" i="4" s="1"/>
  <c r="U149" i="4"/>
  <c r="E149" i="4" s="1"/>
  <c r="W110" i="4"/>
  <c r="G110" i="4" s="1"/>
  <c r="X95" i="4"/>
  <c r="H95" i="4" s="1"/>
  <c r="U101" i="4"/>
  <c r="E101" i="4" s="1"/>
  <c r="W142" i="4"/>
  <c r="G142" i="4" s="1"/>
  <c r="W105" i="4"/>
  <c r="G105" i="4" s="1"/>
  <c r="V132" i="4"/>
  <c r="F132" i="4" s="1"/>
  <c r="S123" i="4"/>
  <c r="C123" i="4" s="1"/>
  <c r="U123" i="4"/>
  <c r="E123" i="4" s="1"/>
  <c r="V130" i="4"/>
  <c r="F130" i="4" s="1"/>
  <c r="Y102" i="4"/>
  <c r="I102" i="4" s="1"/>
  <c r="W132" i="4"/>
  <c r="G132" i="4" s="1"/>
  <c r="Y107" i="4"/>
  <c r="I107" i="4" s="1"/>
  <c r="Y146" i="4"/>
  <c r="I146" i="4" s="1"/>
  <c r="T90" i="4"/>
  <c r="D90" i="4" s="1"/>
  <c r="X141" i="4"/>
  <c r="H141" i="4" s="1"/>
  <c r="S100" i="4"/>
  <c r="C100" i="4" s="1"/>
  <c r="V125" i="4"/>
  <c r="F125" i="4" s="1"/>
  <c r="T92" i="4"/>
  <c r="D92" i="4" s="1"/>
  <c r="S114" i="4"/>
  <c r="C114" i="4" s="1"/>
  <c r="S101" i="4"/>
  <c r="C101" i="4" s="1"/>
  <c r="S146" i="4"/>
  <c r="C146" i="4" s="1"/>
  <c r="Y113" i="4"/>
  <c r="I113" i="4" s="1"/>
  <c r="Y103" i="4"/>
  <c r="I103" i="4" s="1"/>
  <c r="X121" i="4"/>
  <c r="H121" i="4" s="1"/>
  <c r="U94" i="4"/>
  <c r="E94" i="4" s="1"/>
  <c r="S116" i="4"/>
  <c r="C116" i="4" s="1"/>
  <c r="W125" i="4"/>
  <c r="G125" i="4" s="1"/>
  <c r="T88" i="4"/>
  <c r="D88" i="4" s="1"/>
  <c r="V152" i="4"/>
  <c r="F152" i="4" s="1"/>
  <c r="Y168" i="4"/>
  <c r="I168" i="4" s="1"/>
  <c r="X88" i="4"/>
  <c r="H88" i="4" s="1"/>
  <c r="V110" i="4"/>
  <c r="F110" i="4" s="1"/>
  <c r="W135" i="4"/>
  <c r="G135" i="4" s="1"/>
  <c r="Y153" i="4"/>
  <c r="I153" i="4" s="1"/>
  <c r="V91" i="4"/>
  <c r="F91" i="4" s="1"/>
  <c r="V107" i="4"/>
  <c r="F107" i="4" s="1"/>
  <c r="T121" i="4"/>
  <c r="D121" i="4" s="1"/>
  <c r="Y134" i="4"/>
  <c r="I134" i="4" s="1"/>
  <c r="U146" i="4"/>
  <c r="E146" i="4" s="1"/>
  <c r="X100" i="4"/>
  <c r="H100" i="4" s="1"/>
  <c r="S111" i="4"/>
  <c r="C111" i="4" s="1"/>
  <c r="T120" i="4"/>
  <c r="D120" i="4" s="1"/>
  <c r="X132" i="4"/>
  <c r="H132" i="4" s="1"/>
  <c r="T144" i="4"/>
  <c r="D144" i="4" s="1"/>
  <c r="U153" i="4"/>
  <c r="E153" i="4" s="1"/>
  <c r="W90" i="4"/>
  <c r="G90" i="4" s="1"/>
  <c r="X99" i="4"/>
  <c r="H99" i="4" s="1"/>
  <c r="Y108" i="4"/>
  <c r="I108" i="4" s="1"/>
  <c r="T119" i="4"/>
  <c r="D119" i="4" s="1"/>
  <c r="U128" i="4"/>
  <c r="E128" i="4" s="1"/>
  <c r="W138" i="4"/>
  <c r="G138" i="4" s="1"/>
  <c r="X147" i="4"/>
  <c r="H147" i="4" s="1"/>
  <c r="W96" i="4"/>
  <c r="G96" i="4" s="1"/>
  <c r="T125" i="4"/>
  <c r="D125" i="4" s="1"/>
  <c r="U150" i="4"/>
  <c r="E150" i="4" s="1"/>
  <c r="W94" i="4"/>
  <c r="G94" i="4" s="1"/>
  <c r="Y112" i="4"/>
  <c r="I112" i="4" s="1"/>
  <c r="Y128" i="4"/>
  <c r="I128" i="4" s="1"/>
  <c r="U140" i="4"/>
  <c r="E140" i="4" s="1"/>
  <c r="U89" i="4"/>
  <c r="E89" i="4" s="1"/>
  <c r="Y177" i="4"/>
  <c r="I177" i="4" s="1"/>
  <c r="Y161" i="4"/>
  <c r="I161" i="4" s="1"/>
  <c r="S91" i="4"/>
  <c r="C91" i="4" s="1"/>
  <c r="S115" i="4"/>
  <c r="C115" i="4" s="1"/>
  <c r="X136" i="4"/>
  <c r="H136" i="4" s="1"/>
  <c r="W92" i="4"/>
  <c r="G92" i="4" s="1"/>
  <c r="W108" i="4"/>
  <c r="G108" i="4" s="1"/>
  <c r="U122" i="4"/>
  <c r="E122" i="4" s="1"/>
  <c r="S136" i="4"/>
  <c r="C136" i="4" s="1"/>
  <c r="V147" i="4"/>
  <c r="F147" i="4" s="1"/>
  <c r="S103" i="4"/>
  <c r="C103" i="4" s="1"/>
  <c r="T112" i="4"/>
  <c r="D112" i="4" s="1"/>
  <c r="U121" i="4"/>
  <c r="E121" i="4" s="1"/>
  <c r="Y133" i="4"/>
  <c r="I133" i="4" s="1"/>
  <c r="U145" i="4"/>
  <c r="E145" i="4" s="1"/>
  <c r="W84" i="4"/>
  <c r="G84" i="4" s="1"/>
  <c r="X91" i="4"/>
  <c r="H91" i="4" s="1"/>
  <c r="Y100" i="4"/>
  <c r="I100" i="4" s="1"/>
  <c r="S110" i="4"/>
  <c r="C110" i="4" s="1"/>
  <c r="U120" i="4"/>
  <c r="E120" i="4" s="1"/>
  <c r="V129" i="4"/>
  <c r="F129" i="4" s="1"/>
  <c r="X139" i="4"/>
  <c r="H139" i="4" s="1"/>
  <c r="Y148" i="4"/>
  <c r="I148" i="4" s="1"/>
  <c r="X97" i="4"/>
  <c r="H97" i="4" s="1"/>
  <c r="U126" i="4"/>
  <c r="E126" i="4" s="1"/>
  <c r="V151" i="4"/>
  <c r="F151" i="4" s="1"/>
  <c r="S98" i="4"/>
  <c r="C98" i="4" s="1"/>
  <c r="V117" i="4"/>
  <c r="F117" i="4" s="1"/>
  <c r="S130" i="4"/>
  <c r="C130" i="4" s="1"/>
  <c r="Y144" i="4"/>
  <c r="I144" i="4" s="1"/>
  <c r="V90" i="4"/>
  <c r="F90" i="4" s="1"/>
  <c r="Y162" i="4"/>
  <c r="I162" i="4" s="1"/>
  <c r="U93" i="4"/>
  <c r="E93" i="4" s="1"/>
  <c r="V118" i="4"/>
  <c r="F118" i="4" s="1"/>
  <c r="V142" i="4"/>
  <c r="F142" i="4" s="1"/>
  <c r="Y182" i="4"/>
  <c r="I182" i="4" s="1"/>
  <c r="Y94" i="4"/>
  <c r="I94" i="4" s="1"/>
  <c r="Y110" i="4"/>
  <c r="I110" i="4" s="1"/>
  <c r="V123" i="4"/>
  <c r="F123" i="4" s="1"/>
  <c r="T137" i="4"/>
  <c r="D137" i="4" s="1"/>
  <c r="W148" i="4"/>
  <c r="G148" i="4" s="1"/>
  <c r="X92" i="4"/>
  <c r="H92" i="4" s="1"/>
  <c r="T104" i="4"/>
  <c r="D104" i="4" s="1"/>
  <c r="U113" i="4"/>
  <c r="E113" i="4" s="1"/>
  <c r="V122" i="4"/>
  <c r="F122" i="4" s="1"/>
  <c r="T136" i="4"/>
  <c r="D136" i="4" s="1"/>
  <c r="V146" i="4"/>
  <c r="F146" i="4" s="1"/>
  <c r="Y92" i="4"/>
  <c r="I92" i="4" s="1"/>
  <c r="S102" i="4"/>
  <c r="C102" i="4" s="1"/>
  <c r="T111" i="4"/>
  <c r="D111" i="4" s="1"/>
  <c r="V121" i="4"/>
  <c r="F121" i="4" s="1"/>
  <c r="X131" i="4"/>
  <c r="H131" i="4" s="1"/>
  <c r="Y140" i="4"/>
  <c r="I140" i="4" s="1"/>
  <c r="S150" i="4"/>
  <c r="C150" i="4" s="1"/>
  <c r="V94" i="4"/>
  <c r="F94" i="4" s="1"/>
  <c r="W119" i="4"/>
  <c r="G119" i="4" s="1"/>
  <c r="X144" i="4"/>
  <c r="H144" i="4" s="1"/>
  <c r="Y174" i="4"/>
  <c r="I174" i="4" s="1"/>
  <c r="Y166" i="4"/>
  <c r="I166" i="4" s="1"/>
  <c r="Y180" i="4"/>
  <c r="I180" i="4" s="1"/>
  <c r="S96" i="4"/>
  <c r="C96" i="4" s="1"/>
  <c r="T113" i="4"/>
  <c r="D113" i="4" s="1"/>
  <c r="X125" i="4"/>
  <c r="H125" i="4" s="1"/>
  <c r="U138" i="4"/>
  <c r="E138" i="4" s="1"/>
  <c r="X149" i="4"/>
  <c r="H149" i="4" s="1"/>
  <c r="Y93" i="4"/>
  <c r="I93" i="4" s="1"/>
  <c r="U105" i="4"/>
  <c r="E105" i="4" s="1"/>
  <c r="V114" i="4"/>
  <c r="F114" i="4" s="1"/>
  <c r="W123" i="4"/>
  <c r="G123" i="4" s="1"/>
  <c r="V138" i="4"/>
  <c r="F138" i="4" s="1"/>
  <c r="W147" i="4"/>
  <c r="G147" i="4" s="1"/>
  <c r="Y170" i="4"/>
  <c r="I170" i="4" s="1"/>
  <c r="S94" i="4"/>
  <c r="C94" i="4" s="1"/>
  <c r="T103" i="4"/>
  <c r="D103" i="4" s="1"/>
  <c r="U112" i="4"/>
  <c r="E112" i="4" s="1"/>
  <c r="W122" i="4"/>
  <c r="G122" i="4" s="1"/>
  <c r="Y132" i="4"/>
  <c r="I132" i="4" s="1"/>
  <c r="S142" i="4"/>
  <c r="C142" i="4" s="1"/>
  <c r="T151" i="4"/>
  <c r="D151" i="4" s="1"/>
  <c r="Y181" i="4"/>
  <c r="I181" i="4" s="1"/>
  <c r="S108" i="4"/>
  <c r="C108" i="4" s="1"/>
  <c r="U134" i="4"/>
  <c r="E134" i="4" s="1"/>
  <c r="Y171" i="4"/>
  <c r="I171" i="4" s="1"/>
  <c r="X103" i="4"/>
  <c r="H103" i="4" s="1"/>
  <c r="S122" i="4"/>
  <c r="C122" i="4" s="1"/>
  <c r="U132" i="4"/>
  <c r="E132" i="4" s="1"/>
  <c r="V149" i="4"/>
  <c r="F149" i="4" s="1"/>
  <c r="Y178" i="4"/>
  <c r="I178" i="4" s="1"/>
  <c r="Y176" i="4"/>
  <c r="I176" i="4" s="1"/>
  <c r="W121" i="4"/>
  <c r="G121" i="4" s="1"/>
  <c r="Y183" i="4"/>
  <c r="I183" i="4" s="1"/>
  <c r="X96" i="4"/>
  <c r="H96" i="4" s="1"/>
  <c r="Y121" i="4"/>
  <c r="I121" i="4" s="1"/>
  <c r="Y145" i="4"/>
  <c r="I145" i="4" s="1"/>
  <c r="Y172" i="4"/>
  <c r="I172" i="4" s="1"/>
  <c r="U98" i="4"/>
  <c r="E98" i="4" s="1"/>
  <c r="U114" i="4"/>
  <c r="E114" i="4" s="1"/>
  <c r="S128" i="4"/>
  <c r="C128" i="4" s="1"/>
  <c r="V139" i="4"/>
  <c r="F139" i="4" s="1"/>
  <c r="Y150" i="4"/>
  <c r="I150" i="4" s="1"/>
  <c r="S95" i="4"/>
  <c r="C95" i="4" s="1"/>
  <c r="V106" i="4"/>
  <c r="F106" i="4" s="1"/>
  <c r="W115" i="4"/>
  <c r="G115" i="4" s="1"/>
  <c r="X124" i="4"/>
  <c r="H124" i="4" s="1"/>
  <c r="W139" i="4"/>
  <c r="G139" i="4" s="1"/>
  <c r="X148" i="4"/>
  <c r="H148" i="4" s="1"/>
  <c r="S86" i="4"/>
  <c r="C86" i="4" s="1"/>
  <c r="T95" i="4"/>
  <c r="D95" i="4" s="1"/>
  <c r="U104" i="4"/>
  <c r="E104" i="4" s="1"/>
  <c r="V113" i="4"/>
  <c r="F113" i="4" s="1"/>
  <c r="X123" i="4"/>
  <c r="H123" i="4" s="1"/>
  <c r="S134" i="4"/>
  <c r="C134" i="4" s="1"/>
  <c r="T143" i="4"/>
  <c r="D143" i="4" s="1"/>
  <c r="U152" i="4"/>
  <c r="E152" i="4" s="1"/>
  <c r="Y173" i="4"/>
  <c r="I173" i="4" s="1"/>
  <c r="V111" i="4"/>
  <c r="F111" i="4" s="1"/>
  <c r="W136" i="4"/>
  <c r="G136" i="4" s="1"/>
  <c r="Y165" i="4"/>
  <c r="I165" i="4" s="1"/>
  <c r="S106" i="4"/>
  <c r="C106" i="4" s="1"/>
  <c r="T123" i="4"/>
  <c r="D123" i="4" s="1"/>
  <c r="V133" i="4"/>
  <c r="F133" i="4" s="1"/>
  <c r="W150" i="4"/>
  <c r="G150" i="4" s="1"/>
  <c r="Y164" i="4"/>
  <c r="I164" i="4" s="1"/>
  <c r="Y169" i="4"/>
  <c r="I169" i="4" s="1"/>
  <c r="Y131" i="4"/>
  <c r="I131" i="4" s="1"/>
  <c r="Y175" i="4"/>
  <c r="I175" i="4" s="1"/>
  <c r="S99" i="4"/>
  <c r="C99" i="4" s="1"/>
  <c r="U125" i="4"/>
  <c r="E125" i="4" s="1"/>
  <c r="S147" i="4"/>
  <c r="C147" i="4" s="1"/>
  <c r="X85" i="4"/>
  <c r="H85" i="4" s="1"/>
  <c r="S104" i="4"/>
  <c r="C104" i="4" s="1"/>
  <c r="V115" i="4"/>
  <c r="F115" i="4" s="1"/>
  <c r="T129" i="4"/>
  <c r="D129" i="4" s="1"/>
  <c r="W140" i="4"/>
  <c r="G140" i="4" s="1"/>
  <c r="S152" i="4"/>
  <c r="C152" i="4" s="1"/>
  <c r="T96" i="4"/>
  <c r="D96" i="4" s="1"/>
  <c r="W107" i="4"/>
  <c r="G107" i="4" s="1"/>
  <c r="X116" i="4"/>
  <c r="H116" i="4" s="1"/>
  <c r="Y125" i="4"/>
  <c r="I125" i="4" s="1"/>
  <c r="X140" i="4"/>
  <c r="H140" i="4" s="1"/>
  <c r="Y149" i="4"/>
  <c r="I149" i="4" s="1"/>
  <c r="T87" i="4"/>
  <c r="D87" i="4" s="1"/>
  <c r="U96" i="4"/>
  <c r="E96" i="4" s="1"/>
  <c r="V105" i="4"/>
  <c r="F105" i="4" s="1"/>
  <c r="W114" i="4"/>
  <c r="G114" i="4" s="1"/>
  <c r="Y124" i="4"/>
  <c r="I124" i="4" s="1"/>
  <c r="T135" i="4"/>
  <c r="D135" i="4" s="1"/>
  <c r="U144" i="4"/>
  <c r="E144" i="4" s="1"/>
  <c r="V153" i="4"/>
  <c r="F153" i="4" s="1"/>
  <c r="Y167" i="4"/>
  <c r="I167" i="4" s="1"/>
  <c r="W112" i="4"/>
  <c r="G112" i="4" s="1"/>
  <c r="T141" i="4"/>
  <c r="D141" i="4" s="1"/>
  <c r="Y159" i="4"/>
  <c r="I159" i="4" s="1"/>
  <c r="T107" i="4"/>
  <c r="D107" i="4" s="1"/>
  <c r="U124" i="4"/>
  <c r="E124" i="4" s="1"/>
  <c r="W134" i="4"/>
  <c r="G134" i="4" s="1"/>
  <c r="X151" i="4"/>
  <c r="H151" i="4" s="1"/>
  <c r="Y85" i="4"/>
  <c r="I85" i="4" s="1"/>
  <c r="S133" i="4"/>
  <c r="C133" i="4" s="1"/>
  <c r="Y160" i="4"/>
  <c r="I160" i="4" s="1"/>
  <c r="Y105" i="4"/>
  <c r="I105" i="4" s="1"/>
  <c r="X128" i="4"/>
  <c r="H128" i="4" s="1"/>
  <c r="V150" i="4"/>
  <c r="F150" i="4" s="1"/>
  <c r="Y86" i="4"/>
  <c r="I86" i="4" s="1"/>
  <c r="T105" i="4"/>
  <c r="D105" i="4" s="1"/>
  <c r="X117" i="4"/>
  <c r="H117" i="4" s="1"/>
  <c r="V131" i="4"/>
  <c r="F131" i="4" s="1"/>
  <c r="Y142" i="4"/>
  <c r="I142" i="4" s="1"/>
  <c r="T153" i="4"/>
  <c r="D153" i="4" s="1"/>
  <c r="V98" i="4"/>
  <c r="F98" i="4" s="1"/>
  <c r="X108" i="4"/>
  <c r="H108" i="4" s="1"/>
  <c r="Y117" i="4"/>
  <c r="I117" i="4" s="1"/>
  <c r="T128" i="4"/>
  <c r="D128" i="4" s="1"/>
  <c r="Y141" i="4"/>
  <c r="I141" i="4" s="1"/>
  <c r="S151" i="4"/>
  <c r="C151" i="4" s="1"/>
  <c r="U88" i="4"/>
  <c r="E88" i="4" s="1"/>
  <c r="V97" i="4"/>
  <c r="F97" i="4" s="1"/>
  <c r="W106" i="4"/>
  <c r="G106" i="4" s="1"/>
  <c r="X115" i="4"/>
  <c r="H115" i="4" s="1"/>
  <c r="S126" i="4"/>
  <c r="C126" i="4" s="1"/>
  <c r="U136" i="4"/>
  <c r="E136" i="4" s="1"/>
  <c r="V145" i="4"/>
  <c r="F145" i="4" s="1"/>
  <c r="X84" i="4"/>
  <c r="H84" i="4" s="1"/>
  <c r="Y90" i="4"/>
  <c r="I90" i="4" s="1"/>
  <c r="Y114" i="4"/>
  <c r="I114" i="4" s="1"/>
  <c r="V143" i="4"/>
  <c r="F143" i="4" s="1"/>
  <c r="V85" i="4"/>
  <c r="F85" i="4" s="1"/>
  <c r="V109" i="4"/>
  <c r="F109" i="4" s="1"/>
  <c r="W126" i="4"/>
  <c r="G126" i="4" s="1"/>
  <c r="X135" i="4"/>
  <c r="H135" i="4" s="1"/>
  <c r="S87" i="4"/>
  <c r="C87" i="4" s="1"/>
  <c r="W145" i="4"/>
  <c r="G145" i="4" s="1"/>
  <c r="V86" i="4"/>
  <c r="F86" i="4" s="1"/>
  <c r="U109" i="4"/>
  <c r="E109" i="4" s="1"/>
  <c r="Y129" i="4"/>
  <c r="I129" i="4" s="1"/>
  <c r="W151" i="4"/>
  <c r="G151" i="4" s="1"/>
  <c r="U90" i="4"/>
  <c r="E90" i="4" s="1"/>
  <c r="U106" i="4"/>
  <c r="E106" i="4" s="1"/>
  <c r="S120" i="4"/>
  <c r="C120" i="4" s="1"/>
  <c r="X133" i="4"/>
  <c r="H133" i="4" s="1"/>
  <c r="T145" i="4"/>
  <c r="D145" i="4" s="1"/>
  <c r="V84" i="4"/>
  <c r="F84" i="4" s="1"/>
  <c r="W99" i="4"/>
  <c r="G99" i="4" s="1"/>
  <c r="Y109" i="4"/>
  <c r="I109" i="4" s="1"/>
  <c r="S119" i="4"/>
  <c r="C119" i="4" s="1"/>
  <c r="W131" i="4"/>
  <c r="G131" i="4" s="1"/>
  <c r="S143" i="4"/>
  <c r="C143" i="4" s="1"/>
  <c r="T152" i="4"/>
  <c r="D152" i="4" s="1"/>
  <c r="V89" i="4"/>
  <c r="F89" i="4" s="1"/>
  <c r="W98" i="4"/>
  <c r="G98" i="4" s="1"/>
  <c r="X107" i="4"/>
  <c r="H107" i="4" s="1"/>
  <c r="S118" i="4"/>
  <c r="C118" i="4" s="1"/>
  <c r="T127" i="4"/>
  <c r="D127" i="4" s="1"/>
  <c r="V137" i="4"/>
  <c r="F137" i="4" s="1"/>
  <c r="W146" i="4"/>
  <c r="G146" i="4" s="1"/>
  <c r="D32" i="17" l="1"/>
  <c r="I32" i="17"/>
  <c r="T160" i="4"/>
  <c r="D160" i="4" s="1"/>
  <c r="V184" i="4"/>
  <c r="F184" i="4" s="1"/>
  <c r="T181" i="4"/>
  <c r="D181" i="4" s="1"/>
  <c r="T182" i="4"/>
  <c r="D182" i="4" s="1"/>
  <c r="X159" i="4"/>
  <c r="H159" i="4" s="1"/>
  <c r="U171" i="4"/>
  <c r="E171" i="4" s="1"/>
  <c r="X175" i="4"/>
  <c r="H175" i="4" s="1"/>
  <c r="X161" i="4"/>
  <c r="H161" i="4" s="1"/>
  <c r="G31" i="24" s="1"/>
  <c r="U170" i="4"/>
  <c r="E170" i="4" s="1"/>
  <c r="U177" i="4"/>
  <c r="E177" i="4" s="1"/>
  <c r="W181" i="4"/>
  <c r="G181" i="4" s="1"/>
  <c r="S176" i="4"/>
  <c r="C176" i="4" s="1"/>
  <c r="T168" i="4"/>
  <c r="D168" i="4" s="1"/>
  <c r="U160" i="4"/>
  <c r="E160" i="4" s="1"/>
  <c r="S183" i="4"/>
  <c r="C183" i="4" s="1"/>
  <c r="B33" i="24" s="1"/>
  <c r="F30" i="17"/>
  <c r="F54" i="17" s="1"/>
  <c r="C68" i="17"/>
  <c r="E31" i="17"/>
  <c r="E68" i="17" s="1"/>
  <c r="F31" i="17"/>
  <c r="F68" i="17" s="1"/>
  <c r="G31" i="17"/>
  <c r="G68" i="17" s="1"/>
  <c r="C32" i="17"/>
  <c r="C43" i="17" s="1"/>
  <c r="H31" i="17"/>
  <c r="H42" i="17" s="1"/>
  <c r="F32" i="17"/>
  <c r="F43" i="17" s="1"/>
  <c r="G32" i="17"/>
  <c r="G43" i="17" s="1"/>
  <c r="D72" i="24"/>
  <c r="D44" i="24"/>
  <c r="D58" i="24"/>
  <c r="W166" i="4"/>
  <c r="G166" i="4" s="1"/>
  <c r="G30" i="17"/>
  <c r="G67" i="17" s="1"/>
  <c r="V174" i="4"/>
  <c r="F174" i="4" s="1"/>
  <c r="X163" i="4"/>
  <c r="H163" i="4" s="1"/>
  <c r="X185" i="4"/>
  <c r="H185" i="4" s="1"/>
  <c r="S180" i="4"/>
  <c r="C180" i="4" s="1"/>
  <c r="V180" i="4"/>
  <c r="F180" i="4" s="1"/>
  <c r="W161" i="4"/>
  <c r="G161" i="4" s="1"/>
  <c r="F31" i="24" s="1"/>
  <c r="X168" i="4"/>
  <c r="H168" i="4" s="1"/>
  <c r="U182" i="4"/>
  <c r="E182" i="4" s="1"/>
  <c r="U180" i="4"/>
  <c r="E180" i="4" s="1"/>
  <c r="T162" i="4"/>
  <c r="D162" i="4" s="1"/>
  <c r="V159" i="4"/>
  <c r="F159" i="4" s="1"/>
  <c r="W169" i="4"/>
  <c r="G169" i="4" s="1"/>
  <c r="S173" i="4"/>
  <c r="C173" i="4" s="1"/>
  <c r="V176" i="4"/>
  <c r="F176" i="4" s="1"/>
  <c r="W175" i="4"/>
  <c r="G175" i="4" s="1"/>
  <c r="V172" i="4"/>
  <c r="F172" i="4" s="1"/>
  <c r="S185" i="4"/>
  <c r="C185" i="4" s="1"/>
  <c r="V169" i="4"/>
  <c r="F169" i="4" s="1"/>
  <c r="S171" i="4"/>
  <c r="C171" i="4" s="1"/>
  <c r="S182" i="4"/>
  <c r="C182" i="4" s="1"/>
  <c r="X172" i="4"/>
  <c r="H172" i="4" s="1"/>
  <c r="W167" i="4"/>
  <c r="G167" i="4" s="1"/>
  <c r="S181" i="4"/>
  <c r="C181" i="4" s="1"/>
  <c r="X176" i="4"/>
  <c r="H176" i="4" s="1"/>
  <c r="U165" i="4"/>
  <c r="E165" i="4" s="1"/>
  <c r="X178" i="4"/>
  <c r="H178" i="4" s="1"/>
  <c r="V161" i="4"/>
  <c r="F161" i="4" s="1"/>
  <c r="E31" i="24" s="1"/>
  <c r="X160" i="4"/>
  <c r="H160" i="4" s="1"/>
  <c r="U181" i="4"/>
  <c r="E181" i="4" s="1"/>
  <c r="W180" i="4"/>
  <c r="G180" i="4" s="1"/>
  <c r="T163" i="4"/>
  <c r="D163" i="4" s="1"/>
  <c r="T184" i="4"/>
  <c r="D184" i="4" s="1"/>
  <c r="S172" i="4"/>
  <c r="C172" i="4" s="1"/>
  <c r="V171" i="4"/>
  <c r="F171" i="4" s="1"/>
  <c r="W183" i="4"/>
  <c r="G183" i="4" s="1"/>
  <c r="F33" i="24" s="1"/>
  <c r="T179" i="4"/>
  <c r="D179" i="4" s="1"/>
  <c r="V165" i="4"/>
  <c r="F165" i="4" s="1"/>
  <c r="W174" i="4"/>
  <c r="G174" i="4" s="1"/>
  <c r="W185" i="4"/>
  <c r="G185" i="4" s="1"/>
  <c r="V181" i="4"/>
  <c r="F181" i="4" s="1"/>
  <c r="S160" i="4"/>
  <c r="C160" i="4" s="1"/>
  <c r="T183" i="4"/>
  <c r="D183" i="4" s="1"/>
  <c r="C33" i="24" s="1"/>
  <c r="U173" i="4"/>
  <c r="E173" i="4" s="1"/>
  <c r="X180" i="4"/>
  <c r="H180" i="4" s="1"/>
  <c r="H30" i="17"/>
  <c r="H67" i="17" s="1"/>
  <c r="E30" i="17"/>
  <c r="E54" i="17" s="1"/>
  <c r="X183" i="4"/>
  <c r="H183" i="4" s="1"/>
  <c r="C30" i="16"/>
  <c r="D30" i="17"/>
  <c r="D41" i="17" s="1"/>
  <c r="C30" i="17"/>
  <c r="C54" i="17" s="1"/>
  <c r="S168" i="4"/>
  <c r="C168" i="4" s="1"/>
  <c r="V179" i="4"/>
  <c r="F179" i="4" s="1"/>
  <c r="V167" i="4"/>
  <c r="F167" i="4" s="1"/>
  <c r="U164" i="4"/>
  <c r="E164" i="4" s="1"/>
  <c r="U176" i="4"/>
  <c r="E176" i="4" s="1"/>
  <c r="U174" i="4"/>
  <c r="E174" i="4" s="1"/>
  <c r="T176" i="4"/>
  <c r="D176" i="4" s="1"/>
  <c r="S165" i="4"/>
  <c r="C165" i="4" s="1"/>
  <c r="B31" i="24" s="1"/>
  <c r="V178" i="4"/>
  <c r="F178" i="4" s="1"/>
  <c r="X184" i="4"/>
  <c r="H184" i="4" s="1"/>
  <c r="W176" i="4"/>
  <c r="G176" i="4" s="1"/>
  <c r="I30" i="17"/>
  <c r="I67" i="17" s="1"/>
  <c r="E43" i="17"/>
  <c r="F32" i="16"/>
  <c r="F43" i="16" s="1"/>
  <c r="E32" i="16"/>
  <c r="E43" i="16" s="1"/>
  <c r="I32" i="16"/>
  <c r="I56" i="16" s="1"/>
  <c r="E33" i="24"/>
  <c r="G32" i="16"/>
  <c r="G43" i="16" s="1"/>
  <c r="H56" i="17"/>
  <c r="I43" i="17"/>
  <c r="D32" i="16"/>
  <c r="D56" i="16" s="1"/>
  <c r="D69" i="17"/>
  <c r="D33" i="24"/>
  <c r="H32" i="16"/>
  <c r="H56" i="16" s="1"/>
  <c r="C32" i="16"/>
  <c r="C43" i="16" s="1"/>
  <c r="C55" i="17"/>
  <c r="C42" i="17"/>
  <c r="E56" i="17"/>
  <c r="E69" i="17"/>
  <c r="I55" i="17"/>
  <c r="I68" i="17"/>
  <c r="D68" i="17"/>
  <c r="D55" i="17"/>
  <c r="F30" i="16"/>
  <c r="F54" i="16" s="1"/>
  <c r="F31" i="16"/>
  <c r="F55" i="16" s="1"/>
  <c r="D31" i="24"/>
  <c r="D31" i="16"/>
  <c r="D42" i="16" s="1"/>
  <c r="H31" i="16"/>
  <c r="H55" i="16" s="1"/>
  <c r="D30" i="16"/>
  <c r="D41" i="16" s="1"/>
  <c r="H30" i="16"/>
  <c r="H67" i="16" s="1"/>
  <c r="B32" i="24"/>
  <c r="G32" i="24"/>
  <c r="I31" i="16"/>
  <c r="I42" i="16" s="1"/>
  <c r="C31" i="16"/>
  <c r="C68" i="16" s="1"/>
  <c r="G31" i="16"/>
  <c r="G42" i="16" s="1"/>
  <c r="E30" i="16"/>
  <c r="E54" i="16" s="1"/>
  <c r="E31" i="16"/>
  <c r="E68" i="16" s="1"/>
  <c r="G30" i="16"/>
  <c r="G41" i="16" s="1"/>
  <c r="C32" i="24"/>
  <c r="I30" i="16"/>
  <c r="I54" i="16" s="1"/>
  <c r="C31" i="24"/>
  <c r="F42" i="17" l="1"/>
  <c r="E42" i="17"/>
  <c r="E55" i="17"/>
  <c r="G55" i="17"/>
  <c r="F55" i="17"/>
  <c r="H68" i="17"/>
  <c r="H55" i="17"/>
  <c r="E32" i="24"/>
  <c r="E72" i="24" s="1"/>
  <c r="G42" i="17"/>
  <c r="E57" i="24"/>
  <c r="E71" i="24"/>
  <c r="G33" i="24"/>
  <c r="G45" i="24" s="1"/>
  <c r="B71" i="24"/>
  <c r="B57" i="24"/>
  <c r="G71" i="24"/>
  <c r="G57" i="24"/>
  <c r="F71" i="24"/>
  <c r="F57" i="24"/>
  <c r="F32" i="24"/>
  <c r="F44" i="24" s="1"/>
  <c r="D71" i="24"/>
  <c r="D76" i="24" s="1"/>
  <c r="D57" i="24"/>
  <c r="C71" i="24"/>
  <c r="C57" i="24"/>
  <c r="B72" i="24"/>
  <c r="B44" i="24"/>
  <c r="B58" i="24"/>
  <c r="C58" i="24"/>
  <c r="C72" i="24"/>
  <c r="C44" i="24"/>
  <c r="G58" i="24"/>
  <c r="G72" i="24"/>
  <c r="G44" i="24"/>
  <c r="D73" i="24"/>
  <c r="D45" i="24"/>
  <c r="D59" i="24"/>
  <c r="C45" i="24"/>
  <c r="C59" i="24"/>
  <c r="C73" i="24"/>
  <c r="F59" i="24"/>
  <c r="F45" i="24"/>
  <c r="F73" i="24"/>
  <c r="E73" i="24"/>
  <c r="E59" i="24"/>
  <c r="E45" i="24"/>
  <c r="B73" i="24"/>
  <c r="B59" i="24"/>
  <c r="B45" i="24"/>
  <c r="C43" i="24"/>
  <c r="E43" i="24"/>
  <c r="B43" i="24"/>
  <c r="F43" i="24"/>
  <c r="D43" i="24"/>
  <c r="G43" i="24"/>
  <c r="F56" i="16"/>
  <c r="F57" i="16" s="1"/>
  <c r="F59" i="16" s="1"/>
  <c r="F63" i="16" s="1"/>
  <c r="C69" i="16"/>
  <c r="I54" i="17"/>
  <c r="I41" i="17"/>
  <c r="I44" i="17" s="1"/>
  <c r="I46" i="17" s="1"/>
  <c r="I50" i="17" s="1"/>
  <c r="I43" i="16"/>
  <c r="I69" i="16"/>
  <c r="F69" i="16"/>
  <c r="C56" i="16"/>
  <c r="E56" i="16"/>
  <c r="E69" i="16"/>
  <c r="G69" i="16"/>
  <c r="G56" i="16"/>
  <c r="F69" i="17"/>
  <c r="H69" i="17"/>
  <c r="H43" i="17"/>
  <c r="G56" i="17"/>
  <c r="G69" i="17"/>
  <c r="G70" i="17" s="1"/>
  <c r="G72" i="17" s="1"/>
  <c r="G76" i="17" s="1"/>
  <c r="C69" i="17"/>
  <c r="F56" i="17"/>
  <c r="H69" i="16"/>
  <c r="D67" i="17"/>
  <c r="D70" i="17" s="1"/>
  <c r="D72" i="17" s="1"/>
  <c r="D76" i="17" s="1"/>
  <c r="D54" i="17"/>
  <c r="H43" i="16"/>
  <c r="H33" i="17"/>
  <c r="H35" i="17" s="1"/>
  <c r="H38" i="17" s="1"/>
  <c r="G28" i="15" s="1"/>
  <c r="D69" i="16"/>
  <c r="D43" i="16"/>
  <c r="D44" i="16" s="1"/>
  <c r="D46" i="16" s="1"/>
  <c r="D49" i="16" s="1"/>
  <c r="C56" i="17"/>
  <c r="C57" i="17" s="1"/>
  <c r="C59" i="17" s="1"/>
  <c r="C63" i="17" s="1"/>
  <c r="H41" i="17"/>
  <c r="E33" i="17"/>
  <c r="E35" i="17" s="1"/>
  <c r="E38" i="17" s="1"/>
  <c r="D28" i="15" s="1"/>
  <c r="H54" i="17"/>
  <c r="H57" i="17" s="1"/>
  <c r="H59" i="17" s="1"/>
  <c r="H63" i="17" s="1"/>
  <c r="E67" i="17"/>
  <c r="E70" i="17" s="1"/>
  <c r="E72" i="17" s="1"/>
  <c r="E76" i="17" s="1"/>
  <c r="D33" i="17"/>
  <c r="D35" i="17" s="1"/>
  <c r="D38" i="17" s="1"/>
  <c r="C28" i="15" s="1"/>
  <c r="I69" i="17"/>
  <c r="I70" i="17" s="1"/>
  <c r="I72" i="17" s="1"/>
  <c r="I76" i="17" s="1"/>
  <c r="I56" i="17"/>
  <c r="I33" i="17"/>
  <c r="I35" i="17" s="1"/>
  <c r="I38" i="17" s="1"/>
  <c r="H28" i="15" s="1"/>
  <c r="G54" i="17"/>
  <c r="G33" i="17"/>
  <c r="G35" i="17" s="1"/>
  <c r="G38" i="17" s="1"/>
  <c r="F28" i="15" s="1"/>
  <c r="G41" i="17"/>
  <c r="D56" i="17"/>
  <c r="D43" i="17"/>
  <c r="D44" i="17" s="1"/>
  <c r="E41" i="17"/>
  <c r="C41" i="17"/>
  <c r="C44" i="17" s="1"/>
  <c r="C46" i="17" s="1"/>
  <c r="C49" i="17" s="1"/>
  <c r="C67" i="17"/>
  <c r="C33" i="17"/>
  <c r="C35" i="17" s="1"/>
  <c r="C38" i="17" s="1"/>
  <c r="B28" i="15" s="1"/>
  <c r="E57" i="17"/>
  <c r="E59" i="17" s="1"/>
  <c r="E62" i="17" s="1"/>
  <c r="F67" i="17"/>
  <c r="F41" i="17"/>
  <c r="F33" i="17"/>
  <c r="F35" i="17" s="1"/>
  <c r="F38" i="17" s="1"/>
  <c r="E28" i="15" s="1"/>
  <c r="F68" i="16"/>
  <c r="F42" i="16"/>
  <c r="G54" i="16"/>
  <c r="F33" i="16"/>
  <c r="F35" i="16" s="1"/>
  <c r="F38" i="16" s="1"/>
  <c r="E41" i="15" s="1"/>
  <c r="F41" i="16"/>
  <c r="F67" i="16"/>
  <c r="E55" i="16"/>
  <c r="D36" i="24"/>
  <c r="D38" i="24" s="1"/>
  <c r="D68" i="16"/>
  <c r="D55" i="16"/>
  <c r="I55" i="16"/>
  <c r="I57" i="16" s="1"/>
  <c r="I59" i="16" s="1"/>
  <c r="I62" i="16" s="1"/>
  <c r="I68" i="16"/>
  <c r="H41" i="16"/>
  <c r="H42" i="16"/>
  <c r="H33" i="16"/>
  <c r="H35" i="16" s="1"/>
  <c r="H38" i="16" s="1"/>
  <c r="G41" i="15" s="1"/>
  <c r="H54" i="16"/>
  <c r="H57" i="16" s="1"/>
  <c r="D54" i="16"/>
  <c r="D33" i="16"/>
  <c r="D35" i="16" s="1"/>
  <c r="D38" i="16" s="1"/>
  <c r="C41" i="15" s="1"/>
  <c r="E42" i="16"/>
  <c r="D67" i="16"/>
  <c r="H68" i="16"/>
  <c r="B36" i="24"/>
  <c r="B38" i="24" s="1"/>
  <c r="C42" i="16"/>
  <c r="E33" i="16"/>
  <c r="E35" i="16" s="1"/>
  <c r="E38" i="16" s="1"/>
  <c r="D41" i="15" s="1"/>
  <c r="E67" i="16"/>
  <c r="G68" i="16"/>
  <c r="C55" i="16"/>
  <c r="E41" i="16"/>
  <c r="G33" i="16"/>
  <c r="G35" i="16" s="1"/>
  <c r="G38" i="16" s="1"/>
  <c r="F41" i="15" s="1"/>
  <c r="I41" i="16"/>
  <c r="G44" i="16"/>
  <c r="G55" i="16"/>
  <c r="G67" i="16"/>
  <c r="I33" i="16"/>
  <c r="I35" i="16" s="1"/>
  <c r="I38" i="16" s="1"/>
  <c r="H41" i="15" s="1"/>
  <c r="I67" i="16"/>
  <c r="C67" i="16"/>
  <c r="C33" i="16"/>
  <c r="C35" i="16" s="1"/>
  <c r="C38" i="16" s="1"/>
  <c r="B41" i="15" s="1"/>
  <c r="C54" i="16"/>
  <c r="C41" i="16"/>
  <c r="C36" i="24"/>
  <c r="G36" i="24" l="1"/>
  <c r="F57" i="17"/>
  <c r="F59" i="17" s="1"/>
  <c r="F62" i="17" s="1"/>
  <c r="H70" i="17"/>
  <c r="H72" i="17" s="1"/>
  <c r="H76" i="17" s="1"/>
  <c r="F36" i="24"/>
  <c r="F37" i="24" s="1"/>
  <c r="E44" i="17"/>
  <c r="E46" i="17" s="1"/>
  <c r="E50" i="17" s="1"/>
  <c r="E36" i="24"/>
  <c r="E58" i="24"/>
  <c r="F44" i="17"/>
  <c r="F46" i="17" s="1"/>
  <c r="F49" i="17" s="1"/>
  <c r="D62" i="24"/>
  <c r="D63" i="24" s="1"/>
  <c r="F72" i="24"/>
  <c r="F76" i="24" s="1"/>
  <c r="F78" i="24" s="1"/>
  <c r="B48" i="24"/>
  <c r="B50" i="24" s="1"/>
  <c r="G44" i="17"/>
  <c r="G46" i="17" s="1"/>
  <c r="G49" i="17" s="1"/>
  <c r="E44" i="24"/>
  <c r="E48" i="24" s="1"/>
  <c r="E49" i="24" s="1"/>
  <c r="C76" i="24"/>
  <c r="C78" i="24" s="1"/>
  <c r="F48" i="24"/>
  <c r="F49" i="24" s="1"/>
  <c r="G73" i="24"/>
  <c r="G76" i="24" s="1"/>
  <c r="G59" i="24"/>
  <c r="G62" i="24" s="1"/>
  <c r="D48" i="24"/>
  <c r="D49" i="24" s="1"/>
  <c r="F58" i="24"/>
  <c r="F62" i="24" s="1"/>
  <c r="F64" i="24" s="1"/>
  <c r="B62" i="24"/>
  <c r="B64" i="24" s="1"/>
  <c r="E62" i="24"/>
  <c r="E63" i="24" s="1"/>
  <c r="B76" i="24"/>
  <c r="B78" i="24" s="1"/>
  <c r="C48" i="24"/>
  <c r="C49" i="24" s="1"/>
  <c r="E76" i="24"/>
  <c r="E78" i="24" s="1"/>
  <c r="G48" i="24"/>
  <c r="G49" i="24" s="1"/>
  <c r="C62" i="24"/>
  <c r="C63" i="24" s="1"/>
  <c r="B49" i="24"/>
  <c r="B52" i="24" s="1"/>
  <c r="D77" i="24"/>
  <c r="D78" i="24"/>
  <c r="C70" i="16"/>
  <c r="C72" i="16" s="1"/>
  <c r="C75" i="16" s="1"/>
  <c r="I44" i="16"/>
  <c r="I57" i="17"/>
  <c r="I59" i="17" s="1"/>
  <c r="I63" i="17" s="1"/>
  <c r="E57" i="16"/>
  <c r="E59" i="16" s="1"/>
  <c r="E63" i="16" s="1"/>
  <c r="E70" i="16"/>
  <c r="E72" i="16" s="1"/>
  <c r="E75" i="16" s="1"/>
  <c r="G57" i="17"/>
  <c r="G59" i="17" s="1"/>
  <c r="G62" i="17" s="1"/>
  <c r="H44" i="17"/>
  <c r="H46" i="17" s="1"/>
  <c r="H49" i="17" s="1"/>
  <c r="D57" i="17"/>
  <c r="D59" i="17" s="1"/>
  <c r="D62" i="17" s="1"/>
  <c r="F70" i="17"/>
  <c r="F72" i="17" s="1"/>
  <c r="F75" i="17" s="1"/>
  <c r="H70" i="16"/>
  <c r="H72" i="16" s="1"/>
  <c r="H75" i="16" s="1"/>
  <c r="C70" i="17"/>
  <c r="C72" i="17" s="1"/>
  <c r="C76" i="17" s="1"/>
  <c r="I49" i="17"/>
  <c r="I51" i="17" s="1"/>
  <c r="H30" i="15" s="1"/>
  <c r="G75" i="17"/>
  <c r="G77" i="17" s="1"/>
  <c r="F34" i="15" s="1"/>
  <c r="D46" i="17"/>
  <c r="D49" i="17" s="1"/>
  <c r="C50" i="17"/>
  <c r="C51" i="17" s="1"/>
  <c r="B30" i="15" s="1"/>
  <c r="H75" i="17"/>
  <c r="H77" i="17" s="1"/>
  <c r="G34" i="15" s="1"/>
  <c r="F63" i="17"/>
  <c r="F64" i="17" s="1"/>
  <c r="E32" i="15" s="1"/>
  <c r="H62" i="17"/>
  <c r="H64" i="17" s="1"/>
  <c r="G32" i="15" s="1"/>
  <c r="E75" i="17"/>
  <c r="E77" i="17" s="1"/>
  <c r="D34" i="15" s="1"/>
  <c r="E63" i="17"/>
  <c r="E64" i="17" s="1"/>
  <c r="D32" i="15" s="1"/>
  <c r="C62" i="17"/>
  <c r="C64" i="17" s="1"/>
  <c r="B32" i="15" s="1"/>
  <c r="D75" i="17"/>
  <c r="D77" i="17" s="1"/>
  <c r="C34" i="15" s="1"/>
  <c r="I75" i="17"/>
  <c r="I77" i="17" s="1"/>
  <c r="H34" i="15" s="1"/>
  <c r="F70" i="16"/>
  <c r="F72" i="16" s="1"/>
  <c r="F75" i="16" s="1"/>
  <c r="F44" i="16"/>
  <c r="F46" i="16" s="1"/>
  <c r="F50" i="16" s="1"/>
  <c r="G57" i="16"/>
  <c r="G59" i="16" s="1"/>
  <c r="G62" i="16" s="1"/>
  <c r="E49" i="17"/>
  <c r="E51" i="17" s="1"/>
  <c r="D30" i="15" s="1"/>
  <c r="D57" i="16"/>
  <c r="D59" i="16" s="1"/>
  <c r="D37" i="24"/>
  <c r="D39" i="24" s="1"/>
  <c r="D55" i="15" s="1"/>
  <c r="D70" i="16"/>
  <c r="D72" i="16" s="1"/>
  <c r="D76" i="16" s="1"/>
  <c r="H44" i="16"/>
  <c r="H46" i="16" s="1"/>
  <c r="H49" i="16" s="1"/>
  <c r="I70" i="16"/>
  <c r="I72" i="16" s="1"/>
  <c r="I75" i="16" s="1"/>
  <c r="I63" i="16"/>
  <c r="I64" i="16" s="1"/>
  <c r="H45" i="15" s="1"/>
  <c r="F62" i="16"/>
  <c r="F64" i="16" s="1"/>
  <c r="E45" i="15" s="1"/>
  <c r="E44" i="16"/>
  <c r="E46" i="16" s="1"/>
  <c r="E50" i="16" s="1"/>
  <c r="G70" i="16"/>
  <c r="G72" i="16" s="1"/>
  <c r="G76" i="16" s="1"/>
  <c r="B37" i="24"/>
  <c r="B39" i="24" s="1"/>
  <c r="B55" i="15" s="1"/>
  <c r="C44" i="16"/>
  <c r="C46" i="16" s="1"/>
  <c r="C50" i="16" s="1"/>
  <c r="D50" i="16"/>
  <c r="D51" i="16" s="1"/>
  <c r="C43" i="15" s="1"/>
  <c r="C57" i="16"/>
  <c r="C59" i="16" s="1"/>
  <c r="C62" i="16" s="1"/>
  <c r="G46" i="16"/>
  <c r="G49" i="16" s="1"/>
  <c r="H59" i="16"/>
  <c r="H62" i="16" s="1"/>
  <c r="C38" i="24"/>
  <c r="C37" i="24"/>
  <c r="I46" i="16"/>
  <c r="I49" i="16" s="1"/>
  <c r="G38" i="24"/>
  <c r="G37" i="24"/>
  <c r="E38" i="24"/>
  <c r="E37" i="24"/>
  <c r="F38" i="24" l="1"/>
  <c r="D64" i="24"/>
  <c r="D66" i="24" s="1"/>
  <c r="F50" i="24"/>
  <c r="F51" i="24" s="1"/>
  <c r="F50" i="17"/>
  <c r="F51" i="17" s="1"/>
  <c r="E30" i="15" s="1"/>
  <c r="C77" i="24"/>
  <c r="G50" i="17"/>
  <c r="G51" i="17" s="1"/>
  <c r="F30" i="15" s="1"/>
  <c r="C50" i="24"/>
  <c r="C52" i="24" s="1"/>
  <c r="G63" i="24"/>
  <c r="G66" i="24" s="1"/>
  <c r="G64" i="24"/>
  <c r="G78" i="24"/>
  <c r="G77" i="24"/>
  <c r="F77" i="24"/>
  <c r="F80" i="24" s="1"/>
  <c r="C64" i="24"/>
  <c r="C65" i="24" s="1"/>
  <c r="B63" i="24"/>
  <c r="B66" i="24" s="1"/>
  <c r="E77" i="24"/>
  <c r="E80" i="24" s="1"/>
  <c r="G50" i="24"/>
  <c r="G51" i="24" s="1"/>
  <c r="D50" i="24"/>
  <c r="D51" i="24" s="1"/>
  <c r="B77" i="24"/>
  <c r="B79" i="24" s="1"/>
  <c r="E50" i="24"/>
  <c r="E51" i="24" s="1"/>
  <c r="E64" i="24"/>
  <c r="E66" i="24" s="1"/>
  <c r="F63" i="24"/>
  <c r="F65" i="24" s="1"/>
  <c r="D80" i="24"/>
  <c r="C80" i="24"/>
  <c r="C79" i="24"/>
  <c r="D79" i="24"/>
  <c r="E76" i="16"/>
  <c r="E77" i="16" s="1"/>
  <c r="D47" i="15" s="1"/>
  <c r="E62" i="16"/>
  <c r="E64" i="16" s="1"/>
  <c r="D45" i="15" s="1"/>
  <c r="I62" i="17"/>
  <c r="I64" i="17" s="1"/>
  <c r="H32" i="15" s="1"/>
  <c r="G63" i="17"/>
  <c r="G64" i="17" s="1"/>
  <c r="F32" i="15" s="1"/>
  <c r="H50" i="17"/>
  <c r="H51" i="17" s="1"/>
  <c r="G30" i="15" s="1"/>
  <c r="D63" i="17"/>
  <c r="D64" i="17" s="1"/>
  <c r="C32" i="15" s="1"/>
  <c r="C75" i="17"/>
  <c r="C77" i="17" s="1"/>
  <c r="B34" i="15" s="1"/>
  <c r="D50" i="17"/>
  <c r="D51" i="17" s="1"/>
  <c r="C30" i="15" s="1"/>
  <c r="F76" i="17"/>
  <c r="F77" i="17" s="1"/>
  <c r="E34" i="15" s="1"/>
  <c r="D63" i="16"/>
  <c r="D62" i="16"/>
  <c r="C39" i="24"/>
  <c r="C55" i="15" s="1"/>
  <c r="I76" i="16"/>
  <c r="I77" i="16" s="1"/>
  <c r="H47" i="15" s="1"/>
  <c r="H50" i="16"/>
  <c r="H51" i="16" s="1"/>
  <c r="G43" i="15" s="1"/>
  <c r="H63" i="16"/>
  <c r="H64" i="16" s="1"/>
  <c r="G45" i="15" s="1"/>
  <c r="D75" i="16"/>
  <c r="D77" i="16" s="1"/>
  <c r="C47" i="15" s="1"/>
  <c r="B51" i="24"/>
  <c r="B53" i="24" s="1"/>
  <c r="B57" i="15" s="1"/>
  <c r="G63" i="16"/>
  <c r="G64" i="16" s="1"/>
  <c r="F45" i="15" s="1"/>
  <c r="I50" i="16"/>
  <c r="I51" i="16" s="1"/>
  <c r="H43" i="15" s="1"/>
  <c r="G75" i="16"/>
  <c r="G77" i="16" s="1"/>
  <c r="F47" i="15" s="1"/>
  <c r="G50" i="16"/>
  <c r="G51" i="16" s="1"/>
  <c r="F43" i="15" s="1"/>
  <c r="F76" i="16"/>
  <c r="F77" i="16" s="1"/>
  <c r="E47" i="15" s="1"/>
  <c r="H76" i="16"/>
  <c r="H77" i="16" s="1"/>
  <c r="G47" i="15" s="1"/>
  <c r="E39" i="24"/>
  <c r="E55" i="15" s="1"/>
  <c r="G39" i="24"/>
  <c r="G55" i="15" s="1"/>
  <c r="F52" i="24"/>
  <c r="F39" i="24"/>
  <c r="F55" i="15" s="1"/>
  <c r="F49" i="16"/>
  <c r="F51" i="16" s="1"/>
  <c r="E43" i="15" s="1"/>
  <c r="E49" i="16"/>
  <c r="E51" i="16" s="1"/>
  <c r="D43" i="15" s="1"/>
  <c r="C63" i="16"/>
  <c r="C64" i="16" s="1"/>
  <c r="B45" i="15" s="1"/>
  <c r="C76" i="16"/>
  <c r="C77" i="16" s="1"/>
  <c r="B47" i="15" s="1"/>
  <c r="C49" i="16"/>
  <c r="C51" i="16" s="1"/>
  <c r="B43" i="15" s="1"/>
  <c r="D65" i="24" l="1"/>
  <c r="C51" i="24"/>
  <c r="G80" i="24"/>
  <c r="F79" i="24"/>
  <c r="D52" i="24"/>
  <c r="D67" i="24"/>
  <c r="G52" i="24"/>
  <c r="D53" i="24"/>
  <c r="D57" i="15" s="1"/>
  <c r="E52" i="24"/>
  <c r="E53" i="24" s="1"/>
  <c r="E57" i="15" s="1"/>
  <c r="G79" i="24"/>
  <c r="G81" i="24" s="1"/>
  <c r="E79" i="24"/>
  <c r="E81" i="24" s="1"/>
  <c r="B65" i="24"/>
  <c r="B67" i="24" s="1"/>
  <c r="C66" i="24"/>
  <c r="C67" i="24" s="1"/>
  <c r="D81" i="24"/>
  <c r="F66" i="24"/>
  <c r="F67" i="24" s="1"/>
  <c r="B80" i="24"/>
  <c r="B81" i="24" s="1"/>
  <c r="E65" i="24"/>
  <c r="E67" i="24" s="1"/>
  <c r="G65" i="24"/>
  <c r="G67" i="24" s="1"/>
  <c r="C81" i="24"/>
  <c r="F81" i="24"/>
  <c r="D64" i="16"/>
  <c r="C45" i="15" s="1"/>
  <c r="C53" i="24"/>
  <c r="C57" i="15" s="1"/>
  <c r="F53" i="24"/>
  <c r="F57" i="15" s="1"/>
  <c r="G53" i="24"/>
  <c r="G57" i="1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GERENCIA GENERAL</author>
  </authors>
  <commentList>
    <comment ref="C41" authorId="0" shapeId="0" xr:uid="{00000000-0006-0000-0000-000001000000}">
      <text>
        <r>
          <rPr>
            <sz val="14"/>
            <color rgb="FF000000"/>
            <rFont val="Arial"/>
            <family val="2"/>
          </rPr>
          <t xml:space="preserve">ELEGIBILIDAD:
</t>
        </r>
        <r>
          <rPr>
            <sz val="14"/>
            <color rgb="FF000000"/>
            <rFont val="Arial"/>
            <family val="2"/>
          </rPr>
          <t>Hijos menores de 24 años que sean solteros y estudiantes de tiempo completo</t>
        </r>
      </text>
    </comment>
    <comment ref="C43" authorId="0" shapeId="0" xr:uid="{00000000-0006-0000-0000-000002000000}">
      <text>
        <r>
          <rPr>
            <sz val="14"/>
            <color rgb="FF000000"/>
            <rFont val="Arial"/>
            <family val="2"/>
          </rPr>
          <t xml:space="preserve">ELEGIBILIDAD:
</t>
        </r>
        <r>
          <rPr>
            <sz val="14"/>
            <color rgb="FF000000"/>
            <rFont val="Arial"/>
            <family val="2"/>
          </rPr>
          <t xml:space="preserve">Entre 18 y 74 años de edad
</t>
        </r>
      </text>
    </comment>
    <comment ref="C45" authorId="0" shapeId="0" xr:uid="{00000000-0006-0000-0000-000003000000}">
      <text>
        <r>
          <rPr>
            <sz val="14"/>
            <color rgb="FF000000"/>
            <rFont val="Arial"/>
            <family val="2"/>
          </rPr>
          <t xml:space="preserve">ELEGIBILIDAD:
</t>
        </r>
        <r>
          <rPr>
            <sz val="14"/>
            <color rgb="FF000000"/>
            <rFont val="Arial"/>
            <family val="2"/>
          </rPr>
          <t xml:space="preserve">Entre 18 y 74 años de edad
</t>
        </r>
      </text>
    </comment>
    <comment ref="R60" authorId="0" shapeId="0" xr:uid="{00000000-0006-0000-0000-000004000000}">
      <text>
        <r>
          <rPr>
            <sz val="14"/>
            <color rgb="FF000000"/>
            <rFont val="Arial"/>
            <family val="2"/>
          </rPr>
          <t xml:space="preserve">Número de niños menores de 16 años
</t>
        </r>
      </text>
    </comment>
    <comment ref="R65" authorId="0" shapeId="0" xr:uid="{00000000-0006-0000-0000-000005000000}">
      <text>
        <r>
          <rPr>
            <sz val="14"/>
            <color rgb="FF000000"/>
            <rFont val="Arial"/>
            <family val="2"/>
          </rPr>
          <t>Número de niños menores de 10 años</t>
        </r>
      </text>
    </comment>
  </commentList>
</comments>
</file>

<file path=xl/sharedStrings.xml><?xml version="1.0" encoding="utf-8"?>
<sst xmlns="http://schemas.openxmlformats.org/spreadsheetml/2006/main" count="512" uniqueCount="173">
  <si>
    <t xml:space="preserve"> </t>
  </si>
  <si>
    <t>24 years</t>
  </si>
  <si>
    <t>Coaseguro (Panamá)</t>
  </si>
  <si>
    <t>Descuento 24 años (por edad)</t>
  </si>
  <si>
    <t>Type</t>
  </si>
  <si>
    <t>Nuevo Negocio</t>
  </si>
  <si>
    <t>Zonas</t>
  </si>
  <si>
    <t>Guayas/Santa Elena</t>
  </si>
  <si>
    <t>age</t>
  </si>
  <si>
    <t>Discount (%)</t>
  </si>
  <si>
    <t>Parameter</t>
  </si>
  <si>
    <t>Pólizas 2020</t>
  </si>
  <si>
    <t>El Resto de Ecuador</t>
  </si>
  <si>
    <t>Pólizas 2021</t>
  </si>
  <si>
    <t>Pólizas Mayo - Agosto 2023</t>
  </si>
  <si>
    <t>Renovaciones</t>
  </si>
  <si>
    <t>Renovación: Pólizas mayo - diciembre de 2024</t>
  </si>
  <si>
    <t>Renovación: Pólizas febrero a abril 2024</t>
  </si>
  <si>
    <t>Renovación: Pólizas enero - julio 2025</t>
  </si>
  <si>
    <t>All ages</t>
  </si>
  <si>
    <t>Type selected</t>
  </si>
  <si>
    <t>Zona seleccionada</t>
  </si>
  <si>
    <t>Nombre de la Zona</t>
  </si>
  <si>
    <t>1. NEW BUSINESS DISCOUNT</t>
  </si>
  <si>
    <t>2. PÓLIZAS 2020</t>
  </si>
  <si>
    <t>Essential</t>
  </si>
  <si>
    <t>Essential 1000</t>
  </si>
  <si>
    <t>Essential 500</t>
  </si>
  <si>
    <t>3. PÓLIZAS 2021</t>
  </si>
  <si>
    <t>Des 24 años:</t>
  </si>
  <si>
    <t>4. PÓLIZAS 2022</t>
  </si>
  <si>
    <t>Des var coaseguro:</t>
  </si>
  <si>
    <t>5. PÓLIZAS 2023</t>
  </si>
  <si>
    <t>Descuento si es nuevo negocio:</t>
  </si>
  <si>
    <t>Nombre del Asegurado Titular:</t>
  </si>
  <si>
    <t>John Doe</t>
  </si>
  <si>
    <r>
      <t xml:space="preserve">NEW BUSINESS DISCOUNT </t>
    </r>
    <r>
      <rPr>
        <sz val="14"/>
        <color theme="0"/>
        <rFont val="Arial"/>
        <family val="2"/>
      </rPr>
      <t>(MULTIPLICATION FACTOR)</t>
    </r>
  </si>
  <si>
    <t>6. PÓLIZAS MAYO - AGOSTO 2023</t>
  </si>
  <si>
    <t>Número de adultos en la póliza:</t>
  </si>
  <si>
    <t>Número total de dependientes:</t>
  </si>
  <si>
    <t>Descuento combinado 24 años y Nuevo Negocio</t>
  </si>
  <si>
    <t>7. RENOVACIONES</t>
  </si>
  <si>
    <t>Edad del Asegurado Titular:</t>
  </si>
  <si>
    <t>Edad del/la cónyuge:</t>
  </si>
  <si>
    <t>NEW BUSINESS DISCOUNT</t>
  </si>
  <si>
    <t>8. RENOCACIONES Pólizas mayo - diciembre 2024 Essential 1000</t>
  </si>
  <si>
    <r>
      <t xml:space="preserve">Tarifas en </t>
    </r>
    <r>
      <rPr>
        <b/>
        <sz val="14"/>
        <rFont val="Arial"/>
        <family val="2"/>
      </rPr>
      <t>US$</t>
    </r>
    <r>
      <rPr>
        <sz val="14"/>
        <rFont val="Arial"/>
        <family val="2"/>
      </rPr>
      <t xml:space="preserve"> | Validas: 1</t>
    </r>
    <r>
      <rPr>
        <b/>
        <sz val="14"/>
        <rFont val="Arial"/>
        <family val="2"/>
      </rPr>
      <t xml:space="preserve"> de enero de 2025</t>
    </r>
  </si>
  <si>
    <t>9. PÓLIZAS FEBRERO A ABRIL 2024</t>
  </si>
  <si>
    <t>10. RENOCACIONES Pólizas enero - julio 2025 Essential 1000</t>
  </si>
  <si>
    <t>Número de dependientes
menores de 16 años:</t>
  </si>
  <si>
    <t>Número de dependientes
menores de 10 años:</t>
  </si>
  <si>
    <t>RESUMEN DE BENEFICIOS</t>
  </si>
  <si>
    <r>
      <rPr>
        <sz val="16"/>
        <color theme="0"/>
        <rFont val="Arial"/>
        <family val="2"/>
      </rPr>
      <t xml:space="preserve">Cotización de Seguro Médico Internacional
</t>
    </r>
    <r>
      <rPr>
        <sz val="36"/>
        <color theme="0"/>
        <rFont val="Arial"/>
        <family val="2"/>
      </rPr>
      <t>Bupa Essential Care</t>
    </r>
    <r>
      <rPr>
        <sz val="16"/>
        <color theme="0"/>
        <rFont val="Arial"/>
        <family val="2"/>
      </rPr>
      <t xml:space="preserve">
</t>
    </r>
    <r>
      <rPr>
        <sz val="14"/>
        <color theme="0"/>
        <rFont val="Arial"/>
        <family val="2"/>
      </rPr>
      <t xml:space="preserve">Tarifas en </t>
    </r>
    <r>
      <rPr>
        <b/>
        <sz val="14"/>
        <color theme="0"/>
        <rFont val="Arial"/>
        <family val="2"/>
      </rPr>
      <t>US$</t>
    </r>
    <r>
      <rPr>
        <sz val="14"/>
        <color theme="0"/>
        <rFont val="Arial"/>
        <family val="2"/>
      </rPr>
      <t xml:space="preserve"> | Validas: </t>
    </r>
    <r>
      <rPr>
        <b/>
        <sz val="14"/>
        <color theme="0"/>
        <rFont val="Arial"/>
        <family val="2"/>
      </rPr>
      <t>1 de enero de 2025</t>
    </r>
  </si>
  <si>
    <t>REGIÓN</t>
  </si>
  <si>
    <t>Nombre del asegurado principal</t>
  </si>
  <si>
    <t>Broker/Agente</t>
  </si>
  <si>
    <t>Número de Adultos en la Póliza</t>
  </si>
  <si>
    <t>Dependientes (menores de 24 años)</t>
  </si>
  <si>
    <t>Edad del Titular</t>
  </si>
  <si>
    <t>Edad del Cónyuge</t>
  </si>
  <si>
    <t>Fecha de Cotización:</t>
  </si>
  <si>
    <t>DEDUCIBLES</t>
  </si>
  <si>
    <t>PLAN 1</t>
  </si>
  <si>
    <t>PLAN 2</t>
  </si>
  <si>
    <t>PLAN 3</t>
  </si>
  <si>
    <t>PLAN 4</t>
  </si>
  <si>
    <t>PLAN 5</t>
  </si>
  <si>
    <t>PLAN 6</t>
  </si>
  <si>
    <t>Dentro del pais de residencia</t>
  </si>
  <si>
    <t>Fuera del pais de residencia</t>
  </si>
  <si>
    <t>TARIFAS ANUALES</t>
  </si>
  <si>
    <t>Prima de Titular</t>
  </si>
  <si>
    <t>Prima de Cónyuge</t>
  </si>
  <si>
    <t>Primas Hijos</t>
  </si>
  <si>
    <t>Rider: Complicaciones de  Maternidad</t>
  </si>
  <si>
    <t>Rider: Trasplante Organos</t>
  </si>
  <si>
    <t>TOTAL PRIMA NETA</t>
  </si>
  <si>
    <t>Contrib. 3.5% Super. Bancos :</t>
  </si>
  <si>
    <t>Contrib 0.5% Seg.Soc.Campes:</t>
  </si>
  <si>
    <t>GRAN TOTAL :</t>
  </si>
  <si>
    <t>TARIFAS SEMESTRALES</t>
  </si>
  <si>
    <t>TOTAL de primera cuota</t>
  </si>
  <si>
    <t>Costo de segunda cuota</t>
  </si>
  <si>
    <t>GRAN TOTAL</t>
  </si>
  <si>
    <t>TARIFAS TRIMESTRALES</t>
  </si>
  <si>
    <t>Costo de tarifa trimestral 2 a 4</t>
  </si>
  <si>
    <t>TARIFAS MENSUALES</t>
  </si>
  <si>
    <t>Costo de Tarifa mensual de 2 a 12</t>
  </si>
  <si>
    <t>Este presupuesto solamente tiene carácter informativo y en ningún momento expresa compromiso legal para suministrarle cobertura de seguro. La emisión de una póliza de seguro Bupa está sujeta a todas las evaluaciones de riesgo por parte de Bupa y a la recepción de todos los pagos de prima requeridos.</t>
  </si>
  <si>
    <r>
      <rPr>
        <sz val="16"/>
        <color theme="0"/>
        <rFont val="Arial"/>
        <family val="2"/>
      </rPr>
      <t xml:space="preserve">Cotización de Seguro Médico
</t>
    </r>
    <r>
      <rPr>
        <sz val="36"/>
        <color theme="0"/>
        <rFont val="Arial"/>
        <family val="2"/>
      </rPr>
      <t>Bupa Essential 500</t>
    </r>
    <r>
      <rPr>
        <sz val="16"/>
        <color theme="0"/>
        <rFont val="Arial"/>
        <family val="2"/>
      </rPr>
      <t xml:space="preserve">
</t>
    </r>
    <r>
      <rPr>
        <sz val="14"/>
        <color theme="0"/>
        <rFont val="Arial"/>
        <family val="2"/>
      </rPr>
      <t xml:space="preserve">Tarifas en </t>
    </r>
    <r>
      <rPr>
        <b/>
        <sz val="14"/>
        <color theme="0"/>
        <rFont val="Arial"/>
        <family val="2"/>
      </rPr>
      <t>US$</t>
    </r>
    <r>
      <rPr>
        <sz val="14"/>
        <color theme="0"/>
        <rFont val="Arial"/>
        <family val="2"/>
      </rPr>
      <t xml:space="preserve"> | Validas: </t>
    </r>
    <r>
      <rPr>
        <b/>
        <sz val="14"/>
        <color theme="0"/>
        <rFont val="Arial"/>
        <family val="2"/>
      </rPr>
      <t>1 de enero de 2025</t>
    </r>
  </si>
  <si>
    <t>Nombre del Asegurado Titular</t>
  </si>
  <si>
    <t>Número de adultos en la póliza</t>
  </si>
  <si>
    <t>Número de Dependientes en la póliza</t>
  </si>
  <si>
    <t>Edad del Asegurado Titular</t>
  </si>
  <si>
    <t>Edad del/la conyuge</t>
  </si>
  <si>
    <t>Fecha de la cotización</t>
  </si>
  <si>
    <t>Deducibles</t>
  </si>
  <si>
    <t>PLAN 7</t>
  </si>
  <si>
    <t>En el país de residencia</t>
  </si>
  <si>
    <t>Fuera del país de residencia</t>
  </si>
  <si>
    <t>Prima para Asegurado Titular</t>
  </si>
  <si>
    <t>Prima para conyuge</t>
  </si>
  <si>
    <t>Prima para hijo (s)</t>
  </si>
  <si>
    <t>Total de Prima neta</t>
  </si>
  <si>
    <t>Ajuste por la variante con coaseguro fuera
 del país de residencia</t>
  </si>
  <si>
    <t>Contribución 3.5% Superintendencia de Bancos
 Contribución 0.5% Seguro Social Campesino</t>
  </si>
  <si>
    <t>VAT (5%) :</t>
  </si>
  <si>
    <t>ITBMS (7%)</t>
  </si>
  <si>
    <t>TOTAL ANUAL</t>
  </si>
  <si>
    <t>Este presupuesto solamente tiene carácter informativo y en ningún momento expresa compromiso legal para suministrarle cobertura de seguro. La emisión de una póliza de seguro Bupa está sujeta a todas las evaluaciones
de riesgo por parte de Bupa y a la recepción de todos los pagos de prima requeridos.</t>
  </si>
  <si>
    <r>
      <rPr>
        <sz val="16"/>
        <color theme="0"/>
        <rFont val="Arial"/>
        <family val="2"/>
      </rPr>
      <t xml:space="preserve">Cotización de Seguro Médico
</t>
    </r>
    <r>
      <rPr>
        <sz val="36"/>
        <color theme="0"/>
        <rFont val="Arial"/>
        <family val="2"/>
      </rPr>
      <t>Essential 1000</t>
    </r>
    <r>
      <rPr>
        <sz val="16"/>
        <color theme="0"/>
        <rFont val="Arial"/>
        <family val="2"/>
      </rPr>
      <t xml:space="preserve">
</t>
    </r>
    <r>
      <rPr>
        <sz val="14"/>
        <color theme="0"/>
        <rFont val="Arial"/>
        <family val="2"/>
      </rPr>
      <t xml:space="preserve">Tarifas en </t>
    </r>
    <r>
      <rPr>
        <b/>
        <sz val="14"/>
        <color theme="0"/>
        <rFont val="Arial"/>
        <family val="2"/>
      </rPr>
      <t>US$</t>
    </r>
    <r>
      <rPr>
        <sz val="14"/>
        <color theme="0"/>
        <rFont val="Arial"/>
        <family val="2"/>
      </rPr>
      <t xml:space="preserve"> | Validas: </t>
    </r>
    <r>
      <rPr>
        <b/>
        <sz val="14"/>
        <color theme="0"/>
        <rFont val="Arial"/>
        <family val="2"/>
      </rPr>
      <t>1 de enero de 2025</t>
    </r>
  </si>
  <si>
    <t>DEDUCIBlES</t>
  </si>
  <si>
    <t>TARIFAS SEMIANUALES</t>
  </si>
  <si>
    <t>Ajuste por la variante con coaseguro
 fuera del país de residencia</t>
  </si>
  <si>
    <t>Este presupuesto solamente tiene carácter informativo y en ningún momento expresa compromiso legal para suministrarle cobertura de seguro.
La emisión de una póliza de seguro Bupa está sujeta a todas las evaluaciones de riesgo por parte de Bupa y a la recepción de todos los pagos 
de prima requeridos.</t>
  </si>
  <si>
    <r>
      <rPr>
        <sz val="16"/>
        <color theme="0"/>
        <rFont val="Arial"/>
        <family val="2"/>
      </rPr>
      <t xml:space="preserve">Cotización de Seguro Médico Internacional
</t>
    </r>
    <r>
      <rPr>
        <sz val="36"/>
        <color theme="0"/>
        <rFont val="Arial"/>
        <family val="2"/>
      </rPr>
      <t xml:space="preserve">Bupa Essential </t>
    </r>
    <r>
      <rPr>
        <sz val="16"/>
        <color theme="0"/>
        <rFont val="Arial"/>
        <family val="2"/>
      </rPr>
      <t xml:space="preserve">
</t>
    </r>
    <r>
      <rPr>
        <sz val="14"/>
        <color theme="0"/>
        <rFont val="Arial"/>
        <family val="2"/>
      </rPr>
      <t xml:space="preserve">Tarifas en </t>
    </r>
    <r>
      <rPr>
        <b/>
        <sz val="14"/>
        <color theme="0"/>
        <rFont val="Arial"/>
        <family val="2"/>
      </rPr>
      <t>US$</t>
    </r>
    <r>
      <rPr>
        <sz val="14"/>
        <color theme="0"/>
        <rFont val="Arial"/>
        <family val="2"/>
      </rPr>
      <t xml:space="preserve"> | Validas: </t>
    </r>
    <r>
      <rPr>
        <b/>
        <sz val="14"/>
        <color theme="0"/>
        <rFont val="Arial"/>
        <family val="2"/>
      </rPr>
      <t>1 de enero de 2025</t>
    </r>
  </si>
  <si>
    <t>Essential Care (Renovaciones)</t>
  </si>
  <si>
    <t>$0</t>
  </si>
  <si>
    <t>Este presupuesto solamente tiene carácter informativo y en ningún momento expresa compromiso legal para suministrarle cobertura de seguro. La emisión de una póliza de seguro Bupa está sujeta a todas las evaluaciones de riesgo por parte de Bupa y a la recepción de todos los pagos de prima requeridos.
Una tarifa administrativa de US$75 se cargará automáticamente al primer pago.
*Basado en un modo de pago anual</t>
  </si>
  <si>
    <t>FACTOR MENSUAL:</t>
  </si>
  <si>
    <t>Descuento de 24 años</t>
  </si>
  <si>
    <t>Impuesto (14.94%)</t>
  </si>
  <si>
    <t>FACTOR TRIMESTRAL:</t>
  </si>
  <si>
    <t>Descuento de producto (%)</t>
  </si>
  <si>
    <t>Total impuestos Bolivia</t>
  </si>
  <si>
    <t>FACTOR SEMIANUAL:</t>
  </si>
  <si>
    <t>Factor para el descuento combinado</t>
  </si>
  <si>
    <t>BUPA ESSENTIAL 1000</t>
  </si>
  <si>
    <t>FACTOR SEMIANUAL (Essential Care):</t>
  </si>
  <si>
    <t>FACTOR TRIMESTRAL (Essential Care):</t>
  </si>
  <si>
    <t>FACTOR MENSUAL (Essential Care):</t>
  </si>
  <si>
    <t>EDAD</t>
  </si>
  <si>
    <t>TARIFAS BASE</t>
  </si>
  <si>
    <t>TARIFAS BASE COND ESCUENTO</t>
  </si>
  <si>
    <t>o más</t>
  </si>
  <si>
    <t>Hijo</t>
  </si>
  <si>
    <t>Hijos</t>
  </si>
  <si>
    <t>Hijos o más</t>
  </si>
  <si>
    <t>BUPA ESSENTIAL 500</t>
  </si>
  <si>
    <t>TARIFAS BASE CON DESCUENTO</t>
  </si>
  <si>
    <t>BUPA ESSENTIAL</t>
  </si>
  <si>
    <t>18-24</t>
  </si>
  <si>
    <t>25-29</t>
  </si>
  <si>
    <t>30-34</t>
  </si>
  <si>
    <t>35-39</t>
  </si>
  <si>
    <t>40-44</t>
  </si>
  <si>
    <t>45-49</t>
  </si>
  <si>
    <t>50-54</t>
  </si>
  <si>
    <t>55-59</t>
  </si>
  <si>
    <t>Rider Comp. Maternidad</t>
  </si>
  <si>
    <t>Transplante de organos</t>
  </si>
  <si>
    <t xml:space="preserve"> BUPA ESSENTIAL </t>
  </si>
  <si>
    <t xml:space="preserve"> TARIFAS ANUALES </t>
  </si>
  <si>
    <t xml:space="preserve"> EDAD 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</si>
  <si>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</si>
  <si>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</si>
  <si>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</si>
  <si>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</si>
  <si>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</si>
  <si>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</si>
  <si>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</si>
  <si>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</si>
  <si>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</si>
  <si>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</si>
  <si>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</si>
  <si>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</si>
  <si>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</si>
  <si>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</si>
  <si>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</si>
  <si>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75+</t>
  </si>
  <si>
    <t>1 Child</t>
  </si>
  <si>
    <t>2 Children</t>
  </si>
  <si>
    <t>3+ Children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</si>
</sst>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\-yy\ h:mm\ AM/PM;@"/>
    <numFmt numFmtId="165" formatCode="_(* #,##0_);_(* \(#,##0\);_(* &quot;-&quot;??_);_(@_)"/>
    <numFmt numFmtId="166" formatCode="_([$$-409]* #,##0.00_);_([$$-409]* \(#,##0.00\);_([$$-409]* &quot;-&quot;??_);_(@_)"/>
    <numFmt numFmtId="167" formatCode="_(* #,##0.000_);_(* \(#,##0.000\);_(* &quot;-&quot;??_);_(@_)"/>
    <numFmt numFmtId="168" formatCode="_(* #,##0.00000000_);_(* \(#,##0.00000000\);_(* &quot;-&quot;??_);_(@_)"/>
    <numFmt numFmtId="169" formatCode="_(* #,##0.0000_);_(* \(#,##0.0000\);_(* &quot;-&quot;??_);_(@_)"/>
    <numFmt numFmtId="170" formatCode="_(&quot;$&quot;* #,##0_);_(&quot;$&quot;* \(#,##0\);_(&quot;$&quot;* &quot;-&quot;??_);_(@_)"/>
    <numFmt numFmtId="171" formatCode="[$-300A]d&quot; de &quot;mmmm&quot; de &quot;yyyy;@"/>
    <numFmt numFmtId="172" formatCode="_-* #,##0_-;\-* #,##0_-;_-* &quot;-&quot;??_-;_-@_-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000000"/>
      <name val="Arial"/>
      <family val="2"/>
    </font>
    <font>
      <sz val="10"/>
      <color theme="0"/>
      <name val="Arial"/>
      <family val="2"/>
    </font>
    <font>
      <sz val="14"/>
      <name val="Arial"/>
      <family val="2"/>
    </font>
    <font>
      <sz val="14"/>
      <color theme="0"/>
      <name val="Arial"/>
      <family val="2"/>
    </font>
    <font>
      <sz val="11"/>
      <name val="Calibri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color theme="0"/>
      <name val="Arial"/>
      <family val="2"/>
    </font>
    <font>
      <sz val="14"/>
      <color theme="1"/>
      <name val="Arial"/>
      <family val="2"/>
    </font>
    <font>
      <b/>
      <sz val="12"/>
      <color theme="0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color theme="3" tint="-0.499984740745262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indexed="9"/>
      <name val="Arial"/>
      <family val="2"/>
    </font>
    <font>
      <sz val="12"/>
      <color theme="0"/>
      <name val="Arial"/>
      <family val="2"/>
    </font>
    <font>
      <sz val="14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theme="0"/>
      <name val="Arial"/>
      <family val="2"/>
    </font>
    <font>
      <sz val="16"/>
      <color theme="0"/>
      <name val="Arial"/>
      <family val="2"/>
    </font>
    <font>
      <sz val="36"/>
      <color theme="0"/>
      <name val="Arial"/>
      <family val="2"/>
    </font>
    <font>
      <b/>
      <sz val="12"/>
      <color rgb="FF0079C8"/>
      <name val="Arial"/>
      <family val="2"/>
    </font>
    <font>
      <sz val="12"/>
      <color rgb="FF58595B"/>
      <name val="Arial"/>
      <family val="2"/>
    </font>
    <font>
      <sz val="14"/>
      <color theme="0" tint="-4.9989318521683403E-2"/>
      <name val="Arial"/>
      <family val="2"/>
    </font>
    <font>
      <b/>
      <sz val="14"/>
      <color theme="0" tint="-4.9989318521683403E-2"/>
      <name val="Arial"/>
      <family val="2"/>
    </font>
    <font>
      <sz val="14"/>
      <color rgb="FF0079C8"/>
      <name val="Arial"/>
      <family val="2"/>
    </font>
    <font>
      <b/>
      <sz val="14"/>
      <color rgb="FF00335B"/>
      <name val="Arial"/>
      <family val="2"/>
    </font>
    <font>
      <b/>
      <sz val="14"/>
      <color rgb="FFFFFFFF"/>
      <name val="Arial"/>
      <family val="2"/>
    </font>
    <font>
      <sz val="12"/>
      <color rgb="FF4D4E4C"/>
      <name val="Arial"/>
      <family val="2"/>
    </font>
    <font>
      <b/>
      <sz val="12"/>
      <color rgb="FF0079CB"/>
      <name val="Arial"/>
      <family val="2"/>
    </font>
    <font>
      <b/>
      <sz val="16"/>
      <color theme="0"/>
      <name val="Arial"/>
      <family val="2"/>
    </font>
    <font>
      <sz val="10"/>
      <name val="Arial"/>
      <family val="2"/>
    </font>
    <font>
      <sz val="12"/>
      <color theme="2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9C8"/>
        <bgColor indexed="64"/>
      </patternFill>
    </fill>
    <fill>
      <patternFill patternType="solid">
        <fgColor rgb="FF00335B"/>
        <bgColor indexed="64"/>
      </patternFill>
    </fill>
    <fill>
      <patternFill patternType="solid">
        <fgColor rgb="FF58595B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DB3907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0079C8"/>
        <bgColor indexed="27"/>
      </patternFill>
    </fill>
    <fill>
      <patternFill patternType="solid">
        <fgColor rgb="FF0079CB"/>
        <bgColor indexed="64"/>
      </patternFill>
    </fill>
    <fill>
      <patternFill patternType="solid">
        <fgColor rgb="FFB1B3B4"/>
        <bgColor indexed="64"/>
      </patternFill>
    </fill>
    <fill>
      <patternFill patternType="solid">
        <fgColor rgb="FF0079CB"/>
        <bgColor rgb="FF000000"/>
      </patternFill>
    </fill>
    <fill>
      <patternFill patternType="solid">
        <fgColor rgb="FF58595B"/>
        <bgColor rgb="FF000000"/>
      </patternFill>
    </fill>
    <fill>
      <patternFill patternType="solid">
        <fgColor rgb="FF4D4E4C"/>
        <bgColor indexed="64"/>
      </patternFill>
    </fill>
    <fill>
      <patternFill patternType="solid">
        <fgColor rgb="FF0079CB"/>
        <bgColor indexed="27"/>
      </patternFill>
    </fill>
    <fill>
      <patternFill patternType="solid">
        <fgColor rgb="FFFFFF00"/>
        <bgColor indexed="64"/>
      </patternFill>
    </fill>
  </fills>
  <borders count="1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/>
      <bottom style="medium">
        <color rgb="FF0079C8"/>
      </bottom>
      <diagonal/>
    </border>
    <border>
      <left/>
      <right style="thin">
        <color rgb="FF0079C8"/>
      </right>
      <top/>
      <bottom style="medium">
        <color rgb="FF0079C8"/>
      </bottom>
      <diagonal/>
    </border>
    <border>
      <left style="medium">
        <color rgb="FFDB3907"/>
      </left>
      <right style="medium">
        <color rgb="FFDB3907"/>
      </right>
      <top style="medium">
        <color rgb="FFDB3907"/>
      </top>
      <bottom style="medium">
        <color rgb="FFDB3907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rgb="FF58595B"/>
      </left>
      <right style="thin">
        <color rgb="FF58595B"/>
      </right>
      <top style="thin">
        <color rgb="FF58595B"/>
      </top>
      <bottom style="thin">
        <color rgb="FF58595B"/>
      </bottom>
      <diagonal/>
    </border>
    <border>
      <left style="thin">
        <color rgb="FF58595B"/>
      </left>
      <right/>
      <top style="thin">
        <color rgb="FF58595B"/>
      </top>
      <bottom/>
      <diagonal/>
    </border>
    <border>
      <left/>
      <right/>
      <top style="thin">
        <color rgb="FF58595B"/>
      </top>
      <bottom/>
      <diagonal/>
    </border>
    <border>
      <left/>
      <right style="thin">
        <color rgb="FF58595B"/>
      </right>
      <top style="thin">
        <color rgb="FF58595B"/>
      </top>
      <bottom/>
      <diagonal/>
    </border>
    <border>
      <left style="thin">
        <color rgb="FF58595B"/>
      </left>
      <right/>
      <top/>
      <bottom/>
      <diagonal/>
    </border>
    <border>
      <left/>
      <right style="thin">
        <color rgb="FF58595B"/>
      </right>
      <top/>
      <bottom/>
      <diagonal/>
    </border>
    <border>
      <left style="thin">
        <color rgb="FF58595B"/>
      </left>
      <right/>
      <top/>
      <bottom style="thin">
        <color rgb="FF58595B"/>
      </bottom>
      <diagonal/>
    </border>
    <border>
      <left/>
      <right/>
      <top/>
      <bottom style="thin">
        <color rgb="FF58595B"/>
      </bottom>
      <diagonal/>
    </border>
    <border>
      <left/>
      <right style="thin">
        <color rgb="FF58595B"/>
      </right>
      <top/>
      <bottom style="thin">
        <color rgb="FF58595B"/>
      </bottom>
      <diagonal/>
    </border>
    <border>
      <left style="thin">
        <color rgb="FF58595B"/>
      </left>
      <right/>
      <top style="thin">
        <color rgb="FF58595B"/>
      </top>
      <bottom style="thin">
        <color rgb="FF58595B"/>
      </bottom>
      <diagonal/>
    </border>
    <border>
      <left/>
      <right/>
      <top style="thin">
        <color rgb="FF58595B"/>
      </top>
      <bottom style="thin">
        <color rgb="FF58595B"/>
      </bottom>
      <diagonal/>
    </border>
    <border>
      <left/>
      <right style="thin">
        <color rgb="FF58595B"/>
      </right>
      <top style="thin">
        <color rgb="FF58595B"/>
      </top>
      <bottom style="thin">
        <color rgb="FF58595B"/>
      </bottom>
      <diagonal/>
    </border>
    <border>
      <left/>
      <right style="thin">
        <color rgb="FF0079C8"/>
      </right>
      <top/>
      <bottom/>
      <diagonal/>
    </border>
    <border>
      <left style="thin">
        <color rgb="FF0079C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58595B"/>
      </bottom>
      <diagonal/>
    </border>
    <border>
      <left/>
      <right/>
      <top style="thin">
        <color indexed="64"/>
      </top>
      <bottom style="thin">
        <color rgb="FF58595B"/>
      </bottom>
      <diagonal/>
    </border>
    <border>
      <left/>
      <right style="thin">
        <color indexed="64"/>
      </right>
      <top style="thin">
        <color indexed="64"/>
      </top>
      <bottom style="thin">
        <color rgb="FF58595B"/>
      </bottom>
      <diagonal/>
    </border>
    <border>
      <left style="thin">
        <color indexed="64"/>
      </left>
      <right/>
      <top style="thin">
        <color rgb="FF58595B"/>
      </top>
      <bottom style="thin">
        <color rgb="FF58595B"/>
      </bottom>
      <diagonal/>
    </border>
    <border>
      <left/>
      <right style="thin">
        <color indexed="64"/>
      </right>
      <top style="thin">
        <color rgb="FF58595B"/>
      </top>
      <bottom style="thin">
        <color rgb="FF58595B"/>
      </bottom>
      <diagonal/>
    </border>
    <border>
      <left style="medium">
        <color rgb="FF0079C8"/>
      </left>
      <right style="medium">
        <color rgb="FF0079C8"/>
      </right>
      <top style="medium">
        <color rgb="FF0079C8"/>
      </top>
      <bottom style="medium">
        <color rgb="FF0079C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B0F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58595B"/>
      </left>
      <right style="thin">
        <color rgb="FF58595B"/>
      </right>
      <top style="thin">
        <color rgb="FF58595B"/>
      </top>
      <bottom style="medium">
        <color rgb="FF00B0F0"/>
      </bottom>
      <diagonal/>
    </border>
    <border>
      <left style="thin">
        <color rgb="FF58595B"/>
      </left>
      <right/>
      <top style="thin">
        <color rgb="FF58595B"/>
      </top>
      <bottom style="medium">
        <color rgb="FF00B0F0"/>
      </bottom>
      <diagonal/>
    </border>
    <border>
      <left/>
      <right style="thin">
        <color rgb="FF58595B"/>
      </right>
      <top style="thin">
        <color rgb="FF58595B"/>
      </top>
      <bottom style="medium">
        <color rgb="FF00B0F0"/>
      </bottom>
      <diagonal/>
    </border>
    <border>
      <left/>
      <right/>
      <top style="medium">
        <color rgb="FF00B0F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rgb="FF00335B"/>
      </right>
      <top/>
      <bottom/>
      <diagonal/>
    </border>
    <border>
      <left/>
      <right/>
      <top style="medium">
        <color rgb="FF00B0F0"/>
      </top>
      <bottom style="medium">
        <color rgb="FF00B0F0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 style="thin">
        <color rgb="FF58595B"/>
      </left>
      <right style="thin">
        <color rgb="FF58595B"/>
      </right>
      <top/>
      <bottom style="thin">
        <color rgb="FF58595B"/>
      </bottom>
      <diagonal/>
    </border>
    <border>
      <left style="thin">
        <color rgb="FF58595B"/>
      </left>
      <right style="thin">
        <color rgb="FF58595B"/>
      </right>
      <top style="thin">
        <color rgb="FF58595B"/>
      </top>
      <bottom/>
      <diagonal/>
    </border>
    <border>
      <left style="medium">
        <color rgb="FFDB3907"/>
      </left>
      <right/>
      <top style="medium">
        <color rgb="FFDB3907"/>
      </top>
      <bottom style="medium">
        <color rgb="FFDB3907"/>
      </bottom>
      <diagonal/>
    </border>
    <border>
      <left/>
      <right style="medium">
        <color rgb="FFDB3907"/>
      </right>
      <top style="medium">
        <color rgb="FFDB3907"/>
      </top>
      <bottom style="medium">
        <color rgb="FFDB3907"/>
      </bottom>
      <diagonal/>
    </border>
    <border>
      <left/>
      <right/>
      <top/>
      <bottom style="medium">
        <color theme="0"/>
      </bottom>
      <diagonal/>
    </border>
    <border>
      <left/>
      <right style="thin">
        <color rgb="FF58595B"/>
      </right>
      <top style="medium">
        <color rgb="FFDB3907"/>
      </top>
      <bottom style="medium">
        <color rgb="FFDB3907"/>
      </bottom>
      <diagonal/>
    </border>
    <border>
      <left style="thin">
        <color rgb="FF58595B"/>
      </left>
      <right style="thin">
        <color rgb="FF58595B"/>
      </right>
      <top style="medium">
        <color rgb="FFDB3907"/>
      </top>
      <bottom style="medium">
        <color rgb="FFDB3907"/>
      </bottom>
      <diagonal/>
    </border>
    <border>
      <left style="thin">
        <color rgb="FF58595B"/>
      </left>
      <right style="medium">
        <color rgb="FFDB3907"/>
      </right>
      <top style="medium">
        <color rgb="FFDB3907"/>
      </top>
      <bottom style="medium">
        <color rgb="FFDB3907"/>
      </bottom>
      <diagonal/>
    </border>
    <border>
      <left style="medium">
        <color rgb="FFDB3907"/>
      </left>
      <right style="thin">
        <color rgb="FF58595B"/>
      </right>
      <top style="medium">
        <color rgb="FFDB3907"/>
      </top>
      <bottom style="medium">
        <color rgb="FFDB3907"/>
      </bottom>
      <diagonal/>
    </border>
    <border>
      <left/>
      <right/>
      <top style="medium">
        <color rgb="FFDB3907"/>
      </top>
      <bottom style="medium">
        <color rgb="FFDB3907"/>
      </bottom>
      <diagonal/>
    </border>
    <border>
      <left style="thin">
        <color rgb="FF00335B"/>
      </left>
      <right style="thin">
        <color rgb="FF00335B"/>
      </right>
      <top style="thin">
        <color rgb="FF00335B"/>
      </top>
      <bottom style="thin">
        <color rgb="FF00335B"/>
      </bottom>
      <diagonal/>
    </border>
    <border>
      <left/>
      <right/>
      <top style="thin">
        <color rgb="FF00335B"/>
      </top>
      <bottom/>
      <diagonal/>
    </border>
    <border>
      <left/>
      <right/>
      <top/>
      <bottom style="thin">
        <color rgb="FF00335B"/>
      </bottom>
      <diagonal/>
    </border>
    <border>
      <left/>
      <right/>
      <top style="thin">
        <color rgb="FF0079C8"/>
      </top>
      <bottom/>
      <diagonal/>
    </border>
    <border>
      <left/>
      <right style="thin">
        <color rgb="FF0079C8"/>
      </right>
      <top style="thin">
        <color rgb="FF0079C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58595B"/>
      </left>
      <right/>
      <top style="medium">
        <color rgb="FFDB3907"/>
      </top>
      <bottom style="medium">
        <color rgb="FFDB3907"/>
      </bottom>
      <diagonal/>
    </border>
    <border>
      <left style="thin">
        <color indexed="64"/>
      </left>
      <right style="medium">
        <color rgb="FFDB3907"/>
      </right>
      <top style="medium">
        <color rgb="FFDB3907"/>
      </top>
      <bottom style="thin">
        <color indexed="64"/>
      </bottom>
      <diagonal/>
    </border>
    <border>
      <left style="medium">
        <color rgb="FFDB3907"/>
      </left>
      <right style="medium">
        <color rgb="FFDB3907"/>
      </right>
      <top style="medium">
        <color rgb="FFDB3907"/>
      </top>
      <bottom style="thin">
        <color indexed="64"/>
      </bottom>
      <diagonal/>
    </border>
    <border>
      <left style="medium">
        <color rgb="FFDB3907"/>
      </left>
      <right style="thin">
        <color indexed="64"/>
      </right>
      <top style="medium">
        <color rgb="FFDB3907"/>
      </top>
      <bottom style="thin">
        <color indexed="64"/>
      </bottom>
      <diagonal/>
    </border>
    <border>
      <left style="thin">
        <color rgb="FF00335B"/>
      </left>
      <right style="thin">
        <color rgb="FF00335B"/>
      </right>
      <top/>
      <bottom style="thin">
        <color rgb="FF00335B"/>
      </bottom>
      <diagonal/>
    </border>
    <border>
      <left style="thin">
        <color rgb="FF00335B"/>
      </left>
      <right style="thin">
        <color rgb="FF00335B"/>
      </right>
      <top/>
      <bottom/>
      <diagonal/>
    </border>
    <border>
      <left style="thin">
        <color rgb="FF4D4E4C"/>
      </left>
      <right/>
      <top style="thin">
        <color rgb="FF4D4E4C"/>
      </top>
      <bottom style="thin">
        <color rgb="FF4D4E4C"/>
      </bottom>
      <diagonal/>
    </border>
    <border>
      <left/>
      <right/>
      <top style="thin">
        <color rgb="FF4D4E4C"/>
      </top>
      <bottom style="thin">
        <color rgb="FF4D4E4C"/>
      </bottom>
      <diagonal/>
    </border>
    <border>
      <left/>
      <right style="thin">
        <color rgb="FF4D4E4C"/>
      </right>
      <top style="thin">
        <color rgb="FF4D4E4C"/>
      </top>
      <bottom style="thin">
        <color rgb="FF4D4E4C"/>
      </bottom>
      <diagonal/>
    </border>
    <border>
      <left style="thin">
        <color rgb="FF4D4E4C"/>
      </left>
      <right style="thin">
        <color rgb="FF4D4E4C"/>
      </right>
      <top style="thin">
        <color rgb="FF4D4E4C"/>
      </top>
      <bottom style="thin">
        <color rgb="FF4D4E4C"/>
      </bottom>
      <diagonal/>
    </border>
    <border>
      <left/>
      <right style="thin">
        <color rgb="FF4D4E4C"/>
      </right>
      <top/>
      <bottom/>
      <diagonal/>
    </border>
    <border>
      <left/>
      <right/>
      <top style="medium">
        <color rgb="FF00B0F0"/>
      </top>
      <bottom/>
      <diagonal/>
    </border>
    <border>
      <left style="thin">
        <color indexed="64"/>
      </left>
      <right style="thin">
        <color rgb="FF4D4E4C"/>
      </right>
      <top style="thin">
        <color rgb="FF4D4E4C"/>
      </top>
      <bottom style="thin">
        <color rgb="FF4D4E4C"/>
      </bottom>
      <diagonal/>
    </border>
    <border>
      <left style="thin">
        <color rgb="FF4D4E4C"/>
      </left>
      <right style="thin">
        <color indexed="64"/>
      </right>
      <top style="thin">
        <color rgb="FF4D4E4C"/>
      </top>
      <bottom style="thin">
        <color rgb="FF4D4E4C"/>
      </bottom>
      <diagonal/>
    </border>
    <border>
      <left style="thin">
        <color indexed="64"/>
      </left>
      <right style="thin">
        <color rgb="FF4D4E4C"/>
      </right>
      <top style="thin">
        <color rgb="FF4D4E4C"/>
      </top>
      <bottom style="thin">
        <color indexed="64"/>
      </bottom>
      <diagonal/>
    </border>
    <border>
      <left style="thin">
        <color rgb="FF4D4E4C"/>
      </left>
      <right style="thin">
        <color rgb="FF4D4E4C"/>
      </right>
      <top style="thin">
        <color rgb="FF4D4E4C"/>
      </top>
      <bottom style="thin">
        <color indexed="64"/>
      </bottom>
      <diagonal/>
    </border>
    <border>
      <left style="thin">
        <color rgb="FF4D4E4C"/>
      </left>
      <right style="thin">
        <color indexed="64"/>
      </right>
      <top style="thin">
        <color rgb="FF4D4E4C"/>
      </top>
      <bottom style="thin">
        <color indexed="64"/>
      </bottom>
      <diagonal/>
    </border>
    <border>
      <left style="thin">
        <color indexed="64"/>
      </left>
      <right style="thin">
        <color rgb="FF4D4E4C"/>
      </right>
      <top style="thin">
        <color rgb="FF4D4E4C"/>
      </top>
      <bottom/>
      <diagonal/>
    </border>
    <border>
      <left style="thin">
        <color rgb="FF4D4E4C"/>
      </left>
      <right style="thin">
        <color rgb="FF4D4E4C"/>
      </right>
      <top style="thin">
        <color rgb="FF4D4E4C"/>
      </top>
      <bottom/>
      <diagonal/>
    </border>
    <border>
      <left style="thin">
        <color rgb="FF4D4E4C"/>
      </left>
      <right style="thin">
        <color indexed="64"/>
      </right>
      <top style="thin">
        <color rgb="FF4D4E4C"/>
      </top>
      <bottom/>
      <diagonal/>
    </border>
    <border>
      <left style="thin">
        <color indexed="64"/>
      </left>
      <right style="thin">
        <color rgb="FF00B0F0"/>
      </right>
      <top/>
      <bottom style="thin">
        <color indexed="64"/>
      </bottom>
      <diagonal/>
    </border>
    <border>
      <left style="thin">
        <color rgb="FF00B0F0"/>
      </left>
      <right style="thin">
        <color rgb="FF00B0F0"/>
      </right>
      <top/>
      <bottom style="thin">
        <color indexed="64"/>
      </bottom>
      <diagonal/>
    </border>
    <border>
      <left style="thin">
        <color rgb="FF4D4E4C"/>
      </left>
      <right/>
      <top style="thin">
        <color rgb="FF4D4E4C"/>
      </top>
      <bottom/>
      <diagonal/>
    </border>
    <border>
      <left/>
      <right/>
      <top style="thin">
        <color rgb="FF4D4E4C"/>
      </top>
      <bottom/>
      <diagonal/>
    </border>
    <border>
      <left/>
      <right style="thin">
        <color rgb="FF4D4E4C"/>
      </right>
      <top style="thin">
        <color rgb="FF4D4E4C"/>
      </top>
      <bottom/>
      <diagonal/>
    </border>
    <border>
      <left style="thin">
        <color rgb="FF4D4E4C"/>
      </left>
      <right/>
      <top/>
      <bottom/>
      <diagonal/>
    </border>
    <border>
      <left style="thin">
        <color rgb="FF4D4E4C"/>
      </left>
      <right/>
      <top/>
      <bottom style="thin">
        <color rgb="FF4D4E4C"/>
      </bottom>
      <diagonal/>
    </border>
    <border>
      <left/>
      <right/>
      <top/>
      <bottom style="thin">
        <color rgb="FF4D4E4C"/>
      </bottom>
      <diagonal/>
    </border>
    <border>
      <left/>
      <right style="thin">
        <color rgb="FF4D4E4C"/>
      </right>
      <top/>
      <bottom style="thin">
        <color rgb="FF4D4E4C"/>
      </bottom>
      <diagonal/>
    </border>
    <border>
      <left/>
      <right/>
      <top/>
      <bottom style="thin">
        <color rgb="FF0079C8"/>
      </bottom>
      <diagonal/>
    </border>
    <border>
      <left/>
      <right style="thin">
        <color rgb="FF0079C8"/>
      </right>
      <top/>
      <bottom style="thin">
        <color rgb="FF0079C8"/>
      </bottom>
      <diagonal/>
    </border>
    <border>
      <left style="medium">
        <color rgb="FF00B0F0"/>
      </left>
      <right/>
      <top style="medium">
        <color rgb="FF00B0F0"/>
      </top>
      <bottom style="medium">
        <color rgb="FF00B0F0"/>
      </bottom>
      <diagonal/>
    </border>
    <border>
      <left/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thin">
        <color rgb="FF00B0F0"/>
      </left>
      <right/>
      <top/>
      <bottom/>
      <diagonal/>
    </border>
    <border>
      <left/>
      <right style="thin">
        <color rgb="FF00B0F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335B"/>
      </left>
      <right/>
      <top/>
      <bottom style="thin">
        <color rgb="FF00335B"/>
      </bottom>
      <diagonal/>
    </border>
    <border>
      <left style="thin">
        <color rgb="FF00335B"/>
      </left>
      <right/>
      <top style="thin">
        <color rgb="FF00335B"/>
      </top>
      <bottom style="thin">
        <color rgb="FF00335B"/>
      </bottom>
      <diagonal/>
    </border>
    <border>
      <left/>
      <right style="thin">
        <color indexed="64"/>
      </right>
      <top style="thin">
        <color rgb="FF00335B"/>
      </top>
      <bottom/>
      <diagonal/>
    </border>
    <border>
      <left style="thin">
        <color rgb="FF00B0F0"/>
      </left>
      <right style="thin">
        <color rgb="FF00B0F0"/>
      </right>
      <top style="thin">
        <color indexed="64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60">
    <xf numFmtId="0" fontId="0" fillId="0" borderId="0"/>
    <xf numFmtId="44" fontId="8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3" fontId="11" fillId="0" borderId="0" applyFont="0" applyFill="0" applyBorder="0" applyAlignment="0" applyProtection="0"/>
    <xf numFmtId="0" fontId="13" fillId="0" borderId="0">
      <alignment vertical="top"/>
    </xf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" fillId="0" borderId="0"/>
    <xf numFmtId="0" fontId="16" fillId="0" borderId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17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43" fontId="8" fillId="0" borderId="0" applyFont="0" applyFill="0" applyBorder="0" applyAlignment="0" applyProtection="0"/>
    <xf numFmtId="9" fontId="54" fillId="0" borderId="0" applyFont="0" applyFill="0" applyBorder="0" applyAlignment="0" applyProtection="0"/>
  </cellStyleXfs>
  <cellXfs count="633">
    <xf numFmtId="0" fontId="0" fillId="0" borderId="0" xfId="0"/>
    <xf numFmtId="0" fontId="22" fillId="2" borderId="0" xfId="0" applyFont="1" applyFill="1"/>
    <xf numFmtId="0" fontId="22" fillId="2" borderId="0" xfId="0" applyFont="1" applyFill="1" applyAlignment="1" applyProtection="1">
      <alignment horizontal="right"/>
      <protection locked="0"/>
    </xf>
    <xf numFmtId="0" fontId="23" fillId="2" borderId="0" xfId="0" applyFont="1" applyFill="1" applyProtection="1">
      <protection locked="0"/>
    </xf>
    <xf numFmtId="0" fontId="22" fillId="0" borderId="0" xfId="0" applyFont="1"/>
    <xf numFmtId="0" fontId="22" fillId="0" borderId="0" xfId="0" applyFont="1" applyAlignment="1">
      <alignment horizontal="right"/>
    </xf>
    <xf numFmtId="0" fontId="10" fillId="0" borderId="0" xfId="0" applyFont="1"/>
    <xf numFmtId="0" fontId="26" fillId="0" borderId="0" xfId="0" applyFont="1"/>
    <xf numFmtId="0" fontId="10" fillId="4" borderId="11" xfId="0" applyFont="1" applyFill="1" applyBorder="1" applyAlignment="1" applyProtection="1">
      <alignment horizontal="center"/>
      <protection locked="0"/>
    </xf>
    <xf numFmtId="0" fontId="22" fillId="0" borderId="18" xfId="0" applyFont="1" applyBorder="1"/>
    <xf numFmtId="0" fontId="22" fillId="5" borderId="0" xfId="0" applyFont="1" applyFill="1"/>
    <xf numFmtId="0" fontId="10" fillId="5" borderId="0" xfId="0" applyFont="1" applyFill="1" applyAlignment="1" applyProtection="1">
      <alignment horizontal="center"/>
      <protection locked="0"/>
    </xf>
    <xf numFmtId="0" fontId="28" fillId="5" borderId="0" xfId="0" applyFont="1" applyFill="1"/>
    <xf numFmtId="0" fontId="22" fillId="5" borderId="9" xfId="0" applyFont="1" applyFill="1" applyBorder="1"/>
    <xf numFmtId="0" fontId="10" fillId="5" borderId="0" xfId="0" applyFont="1" applyFill="1"/>
    <xf numFmtId="0" fontId="22" fillId="5" borderId="0" xfId="0" applyFont="1" applyFill="1" applyAlignment="1">
      <alignment vertical="center"/>
    </xf>
    <xf numFmtId="0" fontId="10" fillId="5" borderId="0" xfId="0" applyFont="1" applyFill="1" applyAlignment="1">
      <alignment vertical="center" wrapText="1"/>
    </xf>
    <xf numFmtId="0" fontId="27" fillId="6" borderId="16" xfId="0" applyFont="1" applyFill="1" applyBorder="1"/>
    <xf numFmtId="0" fontId="28" fillId="5" borderId="8" xfId="0" applyFont="1" applyFill="1" applyBorder="1" applyProtection="1">
      <protection locked="0"/>
    </xf>
    <xf numFmtId="0" fontId="22" fillId="5" borderId="21" xfId="0" applyFont="1" applyFill="1" applyBorder="1" applyProtection="1">
      <protection locked="0"/>
    </xf>
    <xf numFmtId="0" fontId="22" fillId="5" borderId="22" xfId="0" applyFont="1" applyFill="1" applyBorder="1" applyProtection="1">
      <protection locked="0"/>
    </xf>
    <xf numFmtId="0" fontId="22" fillId="5" borderId="1" xfId="0" applyFont="1" applyFill="1" applyBorder="1" applyAlignment="1" applyProtection="1">
      <alignment horizontal="center" vertical="center"/>
      <protection locked="0"/>
    </xf>
    <xf numFmtId="0" fontId="22" fillId="5" borderId="0" xfId="0" applyFont="1" applyFill="1" applyAlignment="1" applyProtection="1">
      <alignment horizontal="center" vertical="center"/>
      <protection locked="0"/>
    </xf>
    <xf numFmtId="0" fontId="22" fillId="5" borderId="2" xfId="0" applyFont="1" applyFill="1" applyBorder="1" applyAlignment="1" applyProtection="1">
      <alignment horizontal="center" vertical="center"/>
      <protection locked="0"/>
    </xf>
    <xf numFmtId="1" fontId="22" fillId="5" borderId="1" xfId="0" applyNumberFormat="1" applyFont="1" applyFill="1" applyBorder="1" applyAlignment="1" applyProtection="1">
      <alignment horizontal="center" vertical="center"/>
      <protection locked="0"/>
    </xf>
    <xf numFmtId="165" fontId="22" fillId="5" borderId="0" xfId="357" applyNumberFormat="1" applyFont="1" applyFill="1" applyBorder="1" applyAlignment="1" applyProtection="1">
      <alignment horizontal="left"/>
      <protection locked="0"/>
    </xf>
    <xf numFmtId="43" fontId="22" fillId="5" borderId="2" xfId="0" applyNumberFormat="1" applyFont="1" applyFill="1" applyBorder="1" applyProtection="1">
      <protection locked="0"/>
    </xf>
    <xf numFmtId="1" fontId="22" fillId="5" borderId="3" xfId="0" applyNumberFormat="1" applyFont="1" applyFill="1" applyBorder="1" applyAlignment="1" applyProtection="1">
      <alignment horizontal="center" vertical="center"/>
      <protection locked="0"/>
    </xf>
    <xf numFmtId="165" fontId="22" fillId="5" borderId="4" xfId="357" applyNumberFormat="1" applyFont="1" applyFill="1" applyBorder="1" applyAlignment="1" applyProtection="1">
      <alignment horizontal="left"/>
      <protection locked="0"/>
    </xf>
    <xf numFmtId="43" fontId="22" fillId="5" borderId="5" xfId="0" applyNumberFormat="1" applyFont="1" applyFill="1" applyBorder="1" applyProtection="1">
      <protection locked="0"/>
    </xf>
    <xf numFmtId="0" fontId="22" fillId="5" borderId="0" xfId="0" applyFont="1" applyFill="1" applyProtection="1">
      <protection locked="0"/>
    </xf>
    <xf numFmtId="0" fontId="22" fillId="0" borderId="0" xfId="0" applyFont="1" applyProtection="1">
      <protection locked="0"/>
    </xf>
    <xf numFmtId="0" fontId="22" fillId="0" borderId="18" xfId="0" applyFont="1" applyBorder="1" applyProtection="1">
      <protection locked="0"/>
    </xf>
    <xf numFmtId="43" fontId="0" fillId="0" borderId="0" xfId="357" applyFont="1" applyFill="1" applyBorder="1" applyAlignment="1">
      <alignment horizontal="right"/>
    </xf>
    <xf numFmtId="0" fontId="22" fillId="5" borderId="0" xfId="0" applyFont="1" applyFill="1" applyAlignment="1">
      <alignment horizontal="center"/>
    </xf>
    <xf numFmtId="165" fontId="22" fillId="5" borderId="0" xfId="357" applyNumberFormat="1" applyFont="1" applyFill="1" applyBorder="1" applyAlignment="1" applyProtection="1">
      <alignment horizontal="center"/>
      <protection locked="0"/>
    </xf>
    <xf numFmtId="0" fontId="27" fillId="5" borderId="0" xfId="0" applyFont="1" applyFill="1" applyAlignment="1">
      <alignment horizontal="center"/>
    </xf>
    <xf numFmtId="43" fontId="22" fillId="5" borderId="0" xfId="357" applyFont="1" applyFill="1" applyBorder="1" applyAlignment="1" applyProtection="1">
      <alignment horizontal="center"/>
      <protection locked="0"/>
    </xf>
    <xf numFmtId="0" fontId="22" fillId="5" borderId="20" xfId="0" applyFont="1" applyFill="1" applyBorder="1" applyAlignment="1" applyProtection="1">
      <alignment horizontal="center" vertical="center"/>
      <protection locked="0"/>
    </xf>
    <xf numFmtId="43" fontId="8" fillId="0" borderId="0" xfId="357" applyFont="1" applyAlignment="1"/>
    <xf numFmtId="43" fontId="8" fillId="0" borderId="0" xfId="357" applyFont="1" applyAlignment="1">
      <alignment horizontal="center"/>
    </xf>
    <xf numFmtId="43" fontId="8" fillId="0" borderId="0" xfId="357" applyFont="1" applyFill="1" applyBorder="1" applyAlignment="1">
      <alignment horizontal="center"/>
    </xf>
    <xf numFmtId="43" fontId="8" fillId="0" borderId="35" xfId="357" applyFont="1" applyFill="1" applyBorder="1" applyAlignment="1">
      <alignment horizontal="center"/>
    </xf>
    <xf numFmtId="43" fontId="8" fillId="2" borderId="0" xfId="357" applyFont="1" applyFill="1" applyAlignment="1">
      <alignment horizontal="center"/>
    </xf>
    <xf numFmtId="43" fontId="8" fillId="0" borderId="42" xfId="357" applyFont="1" applyBorder="1" applyAlignment="1"/>
    <xf numFmtId="43" fontId="8" fillId="0" borderId="33" xfId="357" applyFont="1" applyBorder="1" applyAlignment="1"/>
    <xf numFmtId="43" fontId="24" fillId="3" borderId="36" xfId="357" applyFont="1" applyFill="1" applyBorder="1" applyAlignment="1"/>
    <xf numFmtId="43" fontId="8" fillId="0" borderId="0" xfId="357" applyFont="1" applyFill="1" applyBorder="1" applyAlignment="1"/>
    <xf numFmtId="43" fontId="8" fillId="0" borderId="3" xfId="357" applyFont="1" applyBorder="1" applyAlignment="1"/>
    <xf numFmtId="43" fontId="8" fillId="0" borderId="4" xfId="357" applyFont="1" applyBorder="1" applyAlignment="1"/>
    <xf numFmtId="43" fontId="8" fillId="2" borderId="0" xfId="357" applyFont="1" applyFill="1" applyBorder="1" applyAlignment="1">
      <alignment horizontal="left"/>
    </xf>
    <xf numFmtId="43" fontId="8" fillId="2" borderId="0" xfId="357" applyFont="1" applyFill="1" applyAlignment="1"/>
    <xf numFmtId="43" fontId="8" fillId="0" borderId="0" xfId="357" applyFont="1" applyBorder="1" applyAlignment="1"/>
    <xf numFmtId="43" fontId="8" fillId="0" borderId="0" xfId="357" quotePrefix="1" applyFont="1" applyFill="1" applyBorder="1" applyAlignment="1"/>
    <xf numFmtId="43" fontId="8" fillId="0" borderId="30" xfId="357" applyFont="1" applyBorder="1" applyAlignment="1"/>
    <xf numFmtId="43" fontId="8" fillId="0" borderId="0" xfId="357" applyFont="1" applyFill="1" applyBorder="1" applyAlignment="1">
      <alignment horizontal="right"/>
    </xf>
    <xf numFmtId="43" fontId="15" fillId="0" borderId="0" xfId="357" applyFont="1" applyBorder="1" applyAlignment="1"/>
    <xf numFmtId="0" fontId="22" fillId="5" borderId="38" xfId="0" applyFont="1" applyFill="1" applyBorder="1" applyAlignment="1">
      <alignment horizontal="center"/>
    </xf>
    <xf numFmtId="0" fontId="26" fillId="2" borderId="0" xfId="0" applyFont="1" applyFill="1" applyAlignment="1">
      <alignment horizontal="left" vertical="center"/>
    </xf>
    <xf numFmtId="0" fontId="26" fillId="5" borderId="0" xfId="0" applyFont="1" applyFill="1" applyAlignment="1">
      <alignment horizontal="left" vertical="center"/>
    </xf>
    <xf numFmtId="0" fontId="30" fillId="2" borderId="23" xfId="0" applyFont="1" applyFill="1" applyBorder="1" applyAlignment="1" applyProtection="1">
      <alignment horizontal="center" vertical="center"/>
      <protection hidden="1"/>
    </xf>
    <xf numFmtId="0" fontId="30" fillId="2" borderId="0" xfId="0" applyFont="1" applyFill="1" applyAlignment="1" applyProtection="1">
      <alignment horizontal="center" vertical="center"/>
      <protection hidden="1"/>
    </xf>
    <xf numFmtId="0" fontId="30" fillId="5" borderId="0" xfId="0" applyFont="1" applyFill="1" applyAlignment="1" applyProtection="1">
      <alignment horizontal="center" vertical="center"/>
      <protection hidden="1"/>
    </xf>
    <xf numFmtId="0" fontId="26" fillId="5" borderId="0" xfId="0" applyFont="1" applyFill="1" applyAlignment="1" applyProtection="1">
      <alignment horizontal="center" vertical="center"/>
      <protection hidden="1"/>
    </xf>
    <xf numFmtId="0" fontId="26" fillId="2" borderId="46" xfId="0" applyFont="1" applyFill="1" applyBorder="1" applyAlignment="1">
      <alignment horizontal="left" vertical="center"/>
    </xf>
    <xf numFmtId="43" fontId="39" fillId="5" borderId="23" xfId="357" applyFont="1" applyFill="1" applyBorder="1" applyAlignment="1" applyProtection="1">
      <alignment horizontal="right" vertical="center"/>
      <protection hidden="1"/>
    </xf>
    <xf numFmtId="43" fontId="39" fillId="5" borderId="48" xfId="357" applyFont="1" applyFill="1" applyBorder="1" applyAlignment="1" applyProtection="1">
      <alignment horizontal="right" vertical="center"/>
      <protection hidden="1"/>
    </xf>
    <xf numFmtId="44" fontId="27" fillId="7" borderId="51" xfId="0" applyNumberFormat="1" applyFont="1" applyFill="1" applyBorder="1" applyAlignment="1" applyProtection="1">
      <alignment horizontal="right" vertical="center"/>
      <protection hidden="1"/>
    </xf>
    <xf numFmtId="0" fontId="26" fillId="5" borderId="0" xfId="0" applyFont="1" applyFill="1" applyAlignment="1">
      <alignment horizontal="right" vertical="center"/>
    </xf>
    <xf numFmtId="0" fontId="30" fillId="5" borderId="0" xfId="0" applyFont="1" applyFill="1" applyAlignment="1" applyProtection="1">
      <alignment vertical="center"/>
      <protection hidden="1"/>
    </xf>
    <xf numFmtId="0" fontId="26" fillId="5" borderId="0" xfId="0" applyFont="1" applyFill="1" applyAlignment="1" applyProtection="1">
      <alignment horizontal="center" vertical="center" wrapText="1"/>
      <protection hidden="1"/>
    </xf>
    <xf numFmtId="0" fontId="26" fillId="5" borderId="0" xfId="0" applyFont="1" applyFill="1" applyAlignment="1">
      <alignment vertical="center"/>
    </xf>
    <xf numFmtId="9" fontId="26" fillId="5" borderId="0" xfId="0" applyNumberFormat="1" applyFont="1" applyFill="1" applyAlignment="1" applyProtection="1">
      <alignment horizontal="center" vertical="center"/>
      <protection hidden="1"/>
    </xf>
    <xf numFmtId="0" fontId="30" fillId="5" borderId="0" xfId="0" applyFont="1" applyFill="1" applyAlignment="1">
      <alignment vertical="center"/>
    </xf>
    <xf numFmtId="0" fontId="26" fillId="5" borderId="0" xfId="0" applyFont="1" applyFill="1" applyAlignment="1" applyProtection="1">
      <alignment horizontal="center" vertical="center" wrapText="1" shrinkToFit="1"/>
      <protection hidden="1"/>
    </xf>
    <xf numFmtId="0" fontId="34" fillId="5" borderId="0" xfId="623" applyFont="1" applyFill="1" applyAlignment="1">
      <alignment horizontal="right" vertical="center" wrapText="1"/>
    </xf>
    <xf numFmtId="0" fontId="26" fillId="2" borderId="0" xfId="0" applyFont="1" applyFill="1" applyAlignment="1">
      <alignment horizontal="right" vertical="center"/>
    </xf>
    <xf numFmtId="0" fontId="26" fillId="2" borderId="0" xfId="0" applyFont="1" applyFill="1" applyAlignment="1" applyProtection="1">
      <alignment horizontal="right" vertical="center"/>
      <protection locked="0" hidden="1"/>
    </xf>
    <xf numFmtId="0" fontId="26" fillId="2" borderId="0" xfId="0" applyFont="1" applyFill="1" applyAlignment="1" applyProtection="1">
      <alignment horizontal="right" vertical="center"/>
      <protection hidden="1"/>
    </xf>
    <xf numFmtId="0" fontId="26" fillId="2" borderId="54" xfId="0" applyFont="1" applyFill="1" applyBorder="1" applyAlignment="1">
      <alignment horizontal="left" vertical="center"/>
    </xf>
    <xf numFmtId="0" fontId="26" fillId="2" borderId="46" xfId="0" applyFont="1" applyFill="1" applyBorder="1" applyAlignment="1">
      <alignment horizontal="right" vertical="center"/>
    </xf>
    <xf numFmtId="0" fontId="26" fillId="2" borderId="54" xfId="0" applyFont="1" applyFill="1" applyBorder="1" applyAlignment="1">
      <alignment horizontal="right" vertical="center"/>
    </xf>
    <xf numFmtId="0" fontId="23" fillId="12" borderId="0" xfId="0" applyFont="1" applyFill="1" applyAlignment="1" applyProtection="1">
      <alignment horizontal="left" vertical="center"/>
      <protection hidden="1"/>
    </xf>
    <xf numFmtId="0" fontId="23" fillId="12" borderId="0" xfId="0" applyFont="1" applyFill="1" applyAlignment="1" applyProtection="1">
      <alignment horizontal="center" vertical="center"/>
      <protection hidden="1"/>
    </xf>
    <xf numFmtId="43" fontId="39" fillId="5" borderId="23" xfId="357" applyFont="1" applyFill="1" applyBorder="1" applyAlignment="1" applyProtection="1">
      <alignment vertical="center"/>
      <protection hidden="1"/>
    </xf>
    <xf numFmtId="0" fontId="26" fillId="2" borderId="0" xfId="0" applyFont="1" applyFill="1" applyAlignment="1">
      <alignment vertical="center"/>
    </xf>
    <xf numFmtId="0" fontId="26" fillId="5" borderId="0" xfId="0" applyFont="1" applyFill="1" applyAlignment="1" applyProtection="1">
      <alignment vertical="center"/>
      <protection hidden="1"/>
    </xf>
    <xf numFmtId="0" fontId="26" fillId="5" borderId="0" xfId="0" applyFont="1" applyFill="1" applyAlignment="1" applyProtection="1">
      <alignment vertical="center"/>
      <protection locked="0"/>
    </xf>
    <xf numFmtId="0" fontId="26" fillId="2" borderId="46" xfId="0" applyFont="1" applyFill="1" applyBorder="1" applyAlignment="1">
      <alignment vertical="center"/>
    </xf>
    <xf numFmtId="0" fontId="26" fillId="5" borderId="0" xfId="0" applyFont="1" applyFill="1" applyAlignment="1">
      <alignment horizontal="right" vertical="center" wrapText="1"/>
    </xf>
    <xf numFmtId="0" fontId="22" fillId="5" borderId="55" xfId="0" applyFont="1" applyFill="1" applyBorder="1" applyAlignment="1" applyProtection="1">
      <alignment vertical="center"/>
      <protection hidden="1"/>
    </xf>
    <xf numFmtId="0" fontId="22" fillId="5" borderId="55" xfId="0" applyFont="1" applyFill="1" applyBorder="1" applyAlignment="1" applyProtection="1">
      <alignment horizontal="right" vertical="center"/>
      <protection hidden="1"/>
    </xf>
    <xf numFmtId="44" fontId="22" fillId="5" borderId="55" xfId="1" applyFont="1" applyFill="1" applyBorder="1" applyAlignment="1" applyProtection="1">
      <alignment horizontal="right" vertical="center"/>
      <protection hidden="1"/>
    </xf>
    <xf numFmtId="0" fontId="30" fillId="5" borderId="0" xfId="0" applyFont="1" applyFill="1" applyAlignment="1">
      <alignment horizontal="center" vertical="center"/>
    </xf>
    <xf numFmtId="43" fontId="39" fillId="5" borderId="23" xfId="357" applyFont="1" applyFill="1" applyBorder="1" applyAlignment="1" applyProtection="1">
      <alignment horizontal="right" vertical="center" wrapText="1"/>
      <protection hidden="1"/>
    </xf>
    <xf numFmtId="0" fontId="22" fillId="5" borderId="0" xfId="0" applyFont="1" applyFill="1" applyAlignment="1">
      <alignment horizontal="right" vertical="center"/>
    </xf>
    <xf numFmtId="0" fontId="38" fillId="5" borderId="0" xfId="0" applyFont="1" applyFill="1" applyAlignment="1">
      <alignment vertical="center"/>
    </xf>
    <xf numFmtId="44" fontId="39" fillId="5" borderId="0" xfId="0" applyNumberFormat="1" applyFont="1" applyFill="1" applyAlignment="1" applyProtection="1">
      <alignment horizontal="right" vertical="center"/>
      <protection hidden="1"/>
    </xf>
    <xf numFmtId="44" fontId="39" fillId="5" borderId="0" xfId="0" applyNumberFormat="1" applyFont="1" applyFill="1" applyAlignment="1" applyProtection="1">
      <alignment vertical="center"/>
      <protection hidden="1"/>
    </xf>
    <xf numFmtId="44" fontId="39" fillId="5" borderId="0" xfId="0" applyNumberFormat="1" applyFont="1" applyFill="1" applyAlignment="1" applyProtection="1">
      <alignment horizontal="left" vertical="center"/>
      <protection hidden="1"/>
    </xf>
    <xf numFmtId="0" fontId="29" fillId="5" borderId="0" xfId="0" applyFont="1" applyFill="1" applyAlignment="1">
      <alignment horizontal="right" vertical="center"/>
    </xf>
    <xf numFmtId="22" fontId="44" fillId="5" borderId="0" xfId="0" applyNumberFormat="1" applyFont="1" applyFill="1" applyAlignment="1">
      <alignment horizontal="left" vertical="center"/>
    </xf>
    <xf numFmtId="0" fontId="44" fillId="5" borderId="0" xfId="0" applyFont="1" applyFill="1" applyAlignment="1">
      <alignment horizontal="left" vertical="center"/>
    </xf>
    <xf numFmtId="44" fontId="27" fillId="7" borderId="63" xfId="0" applyNumberFormat="1" applyFont="1" applyFill="1" applyBorder="1" applyAlignment="1" applyProtection="1">
      <alignment horizontal="right" vertical="center"/>
      <protection hidden="1"/>
    </xf>
    <xf numFmtId="44" fontId="27" fillId="7" borderId="52" xfId="0" applyNumberFormat="1" applyFont="1" applyFill="1" applyBorder="1" applyAlignment="1" applyProtection="1">
      <alignment horizontal="right" vertical="center"/>
      <protection hidden="1"/>
    </xf>
    <xf numFmtId="44" fontId="27" fillId="9" borderId="60" xfId="0" applyNumberFormat="1" applyFont="1" applyFill="1" applyBorder="1" applyAlignment="1" applyProtection="1">
      <alignment horizontal="right" vertical="center"/>
      <protection hidden="1"/>
    </xf>
    <xf numFmtId="43" fontId="39" fillId="2" borderId="65" xfId="357" applyFont="1" applyFill="1" applyBorder="1" applyAlignment="1" applyProtection="1">
      <alignment horizontal="right" vertical="center"/>
      <protection hidden="1"/>
    </xf>
    <xf numFmtId="43" fontId="39" fillId="2" borderId="66" xfId="357" applyFont="1" applyFill="1" applyBorder="1" applyAlignment="1" applyProtection="1">
      <alignment horizontal="right" vertical="center"/>
      <protection hidden="1"/>
    </xf>
    <xf numFmtId="43" fontId="27" fillId="9" borderId="60" xfId="357" applyFont="1" applyFill="1" applyBorder="1" applyAlignment="1" applyProtection="1">
      <alignment horizontal="right" vertical="center"/>
      <protection hidden="1"/>
    </xf>
    <xf numFmtId="0" fontId="26" fillId="2" borderId="0" xfId="0" applyFont="1" applyFill="1" applyAlignment="1" applyProtection="1">
      <alignment vertical="center"/>
      <protection hidden="1"/>
    </xf>
    <xf numFmtId="44" fontId="26" fillId="5" borderId="0" xfId="1" applyFont="1" applyFill="1" applyBorder="1" applyAlignment="1" applyProtection="1">
      <alignment vertical="center"/>
      <protection hidden="1"/>
    </xf>
    <xf numFmtId="44" fontId="31" fillId="5" borderId="0" xfId="0" applyNumberFormat="1" applyFont="1" applyFill="1" applyAlignment="1" applyProtection="1">
      <alignment vertical="center"/>
      <protection hidden="1"/>
    </xf>
    <xf numFmtId="44" fontId="32" fillId="5" borderId="0" xfId="0" applyNumberFormat="1" applyFont="1" applyFill="1" applyAlignment="1" applyProtection="1">
      <alignment vertical="center"/>
      <protection hidden="1"/>
    </xf>
    <xf numFmtId="0" fontId="30" fillId="2" borderId="54" xfId="0" applyFont="1" applyFill="1" applyBorder="1" applyAlignment="1" applyProtection="1">
      <alignment vertical="center"/>
      <protection hidden="1"/>
    </xf>
    <xf numFmtId="0" fontId="30" fillId="2" borderId="46" xfId="0" applyFont="1" applyFill="1" applyBorder="1" applyAlignment="1" applyProtection="1">
      <alignment horizontal="center" vertical="center"/>
      <protection hidden="1"/>
    </xf>
    <xf numFmtId="0" fontId="26" fillId="2" borderId="54" xfId="0" applyFont="1" applyFill="1" applyBorder="1" applyAlignment="1">
      <alignment vertical="center"/>
    </xf>
    <xf numFmtId="0" fontId="26" fillId="5" borderId="53" xfId="0" applyFont="1" applyFill="1" applyBorder="1" applyAlignment="1">
      <alignment vertical="center"/>
    </xf>
    <xf numFmtId="0" fontId="26" fillId="5" borderId="53" xfId="0" applyFont="1" applyFill="1" applyBorder="1" applyAlignment="1" applyProtection="1">
      <alignment vertical="center"/>
      <protection hidden="1"/>
    </xf>
    <xf numFmtId="0" fontId="30" fillId="5" borderId="53" xfId="0" applyFont="1" applyFill="1" applyBorder="1" applyAlignment="1" applyProtection="1">
      <alignment horizontal="center" vertical="center"/>
      <protection hidden="1"/>
    </xf>
    <xf numFmtId="0" fontId="33" fillId="5" borderId="53" xfId="623" applyFont="1" applyFill="1" applyBorder="1" applyAlignment="1">
      <alignment horizontal="right" vertical="center" wrapText="1" readingOrder="1"/>
    </xf>
    <xf numFmtId="0" fontId="34" fillId="5" borderId="53" xfId="624" applyFont="1" applyFill="1" applyBorder="1" applyAlignment="1">
      <alignment horizontal="right" vertical="center" wrapText="1" readingOrder="1"/>
    </xf>
    <xf numFmtId="0" fontId="34" fillId="5" borderId="53" xfId="623" applyFont="1" applyFill="1" applyBorder="1" applyAlignment="1">
      <alignment horizontal="right" vertical="center" wrapText="1" readingOrder="1"/>
    </xf>
    <xf numFmtId="0" fontId="35" fillId="5" borderId="53" xfId="623" applyFont="1" applyFill="1" applyBorder="1" applyAlignment="1">
      <alignment horizontal="right" vertical="center" readingOrder="1"/>
    </xf>
    <xf numFmtId="0" fontId="36" fillId="5" borderId="53" xfId="623" applyFont="1" applyFill="1" applyBorder="1" applyAlignment="1">
      <alignment horizontal="right" vertical="center" wrapText="1" readingOrder="1"/>
    </xf>
    <xf numFmtId="9" fontId="35" fillId="5" borderId="53" xfId="623" applyNumberFormat="1" applyFont="1" applyFill="1" applyBorder="1" applyAlignment="1">
      <alignment horizontal="right" vertical="center" wrapText="1" readingOrder="1"/>
    </xf>
    <xf numFmtId="0" fontId="35" fillId="5" borderId="53" xfId="623" applyFont="1" applyFill="1" applyBorder="1" applyAlignment="1">
      <alignment horizontal="right" vertical="center" wrapText="1" readingOrder="1"/>
    </xf>
    <xf numFmtId="9" fontId="34" fillId="5" borderId="53" xfId="623" applyNumberFormat="1" applyFont="1" applyFill="1" applyBorder="1" applyAlignment="1">
      <alignment horizontal="right" vertical="center" readingOrder="1"/>
    </xf>
    <xf numFmtId="9" fontId="34" fillId="5" borderId="53" xfId="623" applyNumberFormat="1" applyFont="1" applyFill="1" applyBorder="1" applyAlignment="1">
      <alignment horizontal="right" vertical="center" wrapText="1" readingOrder="1"/>
    </xf>
    <xf numFmtId="0" fontId="26" fillId="5" borderId="53" xfId="0" applyFont="1" applyFill="1" applyBorder="1" applyAlignment="1" applyProtection="1">
      <alignment vertical="center"/>
      <protection locked="0"/>
    </xf>
    <xf numFmtId="44" fontId="26" fillId="5" borderId="53" xfId="1" applyFont="1" applyFill="1" applyBorder="1" applyAlignment="1" applyProtection="1">
      <alignment vertical="center"/>
      <protection hidden="1"/>
    </xf>
    <xf numFmtId="0" fontId="30" fillId="5" borderId="53" xfId="0" applyFont="1" applyFill="1" applyBorder="1" applyAlignment="1" applyProtection="1">
      <alignment vertical="center"/>
      <protection hidden="1"/>
    </xf>
    <xf numFmtId="44" fontId="31" fillId="5" borderId="53" xfId="0" applyNumberFormat="1" applyFont="1" applyFill="1" applyBorder="1" applyAlignment="1" applyProtection="1">
      <alignment vertical="center"/>
      <protection hidden="1"/>
    </xf>
    <xf numFmtId="44" fontId="32" fillId="5" borderId="53" xfId="0" applyNumberFormat="1" applyFont="1" applyFill="1" applyBorder="1" applyAlignment="1" applyProtection="1">
      <alignment vertical="center"/>
      <protection hidden="1"/>
    </xf>
    <xf numFmtId="0" fontId="46" fillId="12" borderId="0" xfId="0" applyFont="1" applyFill="1" applyAlignment="1" applyProtection="1">
      <alignment horizontal="center" vertical="center"/>
      <protection hidden="1"/>
    </xf>
    <xf numFmtId="0" fontId="22" fillId="5" borderId="0" xfId="0" applyFont="1" applyFill="1" applyAlignment="1" applyProtection="1">
      <alignment vertical="center"/>
      <protection hidden="1"/>
    </xf>
    <xf numFmtId="0" fontId="22" fillId="5" borderId="0" xfId="0" applyFont="1" applyFill="1" applyAlignment="1" applyProtection="1">
      <alignment horizontal="right" vertical="center"/>
      <protection hidden="1"/>
    </xf>
    <xf numFmtId="44" fontId="22" fillId="5" borderId="0" xfId="1" applyFont="1" applyFill="1" applyBorder="1" applyAlignment="1" applyProtection="1">
      <alignment vertical="center"/>
      <protection hidden="1"/>
    </xf>
    <xf numFmtId="44" fontId="47" fillId="9" borderId="0" xfId="0" applyNumberFormat="1" applyFont="1" applyFill="1" applyAlignment="1" applyProtection="1">
      <alignment vertical="center"/>
      <protection hidden="1"/>
    </xf>
    <xf numFmtId="43" fontId="39" fillId="2" borderId="65" xfId="357" applyFont="1" applyFill="1" applyBorder="1" applyAlignment="1" applyProtection="1">
      <alignment vertical="center"/>
      <protection hidden="1"/>
    </xf>
    <xf numFmtId="43" fontId="39" fillId="2" borderId="66" xfId="357" applyFont="1" applyFill="1" applyBorder="1" applyAlignment="1" applyProtection="1">
      <alignment vertical="center"/>
      <protection hidden="1"/>
    </xf>
    <xf numFmtId="43" fontId="39" fillId="5" borderId="48" xfId="357" applyFont="1" applyFill="1" applyBorder="1" applyAlignment="1" applyProtection="1">
      <alignment vertical="center"/>
      <protection hidden="1"/>
    </xf>
    <xf numFmtId="44" fontId="47" fillId="7" borderId="0" xfId="0" applyNumberFormat="1" applyFont="1" applyFill="1" applyAlignment="1" applyProtection="1">
      <alignment vertical="center"/>
      <protection hidden="1"/>
    </xf>
    <xf numFmtId="44" fontId="40" fillId="5" borderId="0" xfId="0" applyNumberFormat="1" applyFont="1" applyFill="1" applyAlignment="1" applyProtection="1">
      <alignment vertical="center"/>
      <protection hidden="1"/>
    </xf>
    <xf numFmtId="44" fontId="47" fillId="13" borderId="51" xfId="0" applyNumberFormat="1" applyFont="1" applyFill="1" applyBorder="1" applyAlignment="1" applyProtection="1">
      <alignment vertical="center"/>
      <protection hidden="1"/>
    </xf>
    <xf numFmtId="44" fontId="47" fillId="7" borderId="51" xfId="0" applyNumberFormat="1" applyFont="1" applyFill="1" applyBorder="1" applyAlignment="1" applyProtection="1">
      <alignment vertical="center"/>
      <protection hidden="1"/>
    </xf>
    <xf numFmtId="44" fontId="47" fillId="7" borderId="52" xfId="0" applyNumberFormat="1" applyFont="1" applyFill="1" applyBorder="1" applyAlignment="1" applyProtection="1">
      <alignment vertical="center"/>
      <protection hidden="1"/>
    </xf>
    <xf numFmtId="0" fontId="10" fillId="5" borderId="0" xfId="0" applyFont="1" applyFill="1" applyAlignment="1" applyProtection="1">
      <alignment vertical="center"/>
      <protection hidden="1"/>
    </xf>
    <xf numFmtId="0" fontId="10" fillId="5" borderId="0" xfId="0" applyFont="1" applyFill="1" applyAlignment="1" applyProtection="1">
      <alignment horizontal="center" vertical="center"/>
      <protection hidden="1"/>
    </xf>
    <xf numFmtId="44" fontId="22" fillId="2" borderId="69" xfId="1" applyFont="1" applyFill="1" applyBorder="1" applyAlignment="1" applyProtection="1">
      <alignment vertical="center"/>
      <protection hidden="1"/>
    </xf>
    <xf numFmtId="0" fontId="22" fillId="2" borderId="0" xfId="0" applyFont="1" applyFill="1" applyAlignment="1" applyProtection="1">
      <alignment vertical="center"/>
      <protection hidden="1"/>
    </xf>
    <xf numFmtId="0" fontId="22" fillId="5" borderId="0" xfId="0" applyFont="1" applyFill="1" applyAlignment="1" applyProtection="1">
      <alignment vertical="center"/>
      <protection locked="0"/>
    </xf>
    <xf numFmtId="0" fontId="10" fillId="2" borderId="23" xfId="0" applyFont="1" applyFill="1" applyBorder="1" applyAlignment="1" applyProtection="1">
      <alignment horizontal="center" vertical="center"/>
      <protection hidden="1"/>
    </xf>
    <xf numFmtId="167" fontId="8" fillId="0" borderId="43" xfId="357" applyNumberFormat="1" applyFont="1" applyBorder="1" applyAlignment="1"/>
    <xf numFmtId="168" fontId="8" fillId="0" borderId="41" xfId="357" applyNumberFormat="1" applyFont="1" applyBorder="1" applyAlignment="1"/>
    <xf numFmtId="165" fontId="22" fillId="5" borderId="44" xfId="357" applyNumberFormat="1" applyFont="1" applyFill="1" applyBorder="1" applyAlignment="1" applyProtection="1">
      <protection locked="0"/>
    </xf>
    <xf numFmtId="165" fontId="8" fillId="0" borderId="0" xfId="357" applyNumberFormat="1" applyFont="1" applyFill="1" applyBorder="1" applyAlignment="1"/>
    <xf numFmtId="165" fontId="39" fillId="5" borderId="59" xfId="357" applyNumberFormat="1" applyFont="1" applyFill="1" applyBorder="1" applyAlignment="1" applyProtection="1">
      <alignment vertical="center"/>
      <protection hidden="1"/>
    </xf>
    <xf numFmtId="170" fontId="49" fillId="2" borderId="23" xfId="1" applyNumberFormat="1" applyFont="1" applyFill="1" applyBorder="1" applyAlignment="1" applyProtection="1">
      <alignment horizontal="right" vertical="center"/>
      <protection hidden="1"/>
    </xf>
    <xf numFmtId="170" fontId="49" fillId="5" borderId="23" xfId="1" applyNumberFormat="1" applyFont="1" applyFill="1" applyBorder="1" applyAlignment="1" applyProtection="1">
      <alignment vertical="center"/>
      <protection hidden="1"/>
    </xf>
    <xf numFmtId="0" fontId="26" fillId="2" borderId="37" xfId="0" applyFont="1" applyFill="1" applyBorder="1" applyAlignment="1" applyProtection="1">
      <alignment vertical="center"/>
      <protection hidden="1"/>
    </xf>
    <xf numFmtId="0" fontId="26" fillId="2" borderId="38" xfId="0" applyFont="1" applyFill="1" applyBorder="1" applyAlignment="1" applyProtection="1">
      <alignment vertical="center"/>
      <protection hidden="1"/>
    </xf>
    <xf numFmtId="0" fontId="26" fillId="2" borderId="38" xfId="0" applyFont="1" applyFill="1" applyBorder="1" applyAlignment="1">
      <alignment vertical="center"/>
    </xf>
    <xf numFmtId="0" fontId="26" fillId="2" borderId="47" xfId="0" applyFont="1" applyFill="1" applyBorder="1" applyAlignment="1">
      <alignment vertical="center"/>
    </xf>
    <xf numFmtId="0" fontId="26" fillId="2" borderId="1" xfId="0" applyFont="1" applyFill="1" applyBorder="1" applyAlignment="1" applyProtection="1">
      <alignment vertical="center"/>
      <protection hidden="1"/>
    </xf>
    <xf numFmtId="0" fontId="26" fillId="2" borderId="2" xfId="0" applyFont="1" applyFill="1" applyBorder="1" applyAlignment="1">
      <alignment vertical="center"/>
    </xf>
    <xf numFmtId="0" fontId="26" fillId="2" borderId="1" xfId="0" applyFont="1" applyFill="1" applyBorder="1" applyAlignment="1">
      <alignment vertical="center"/>
    </xf>
    <xf numFmtId="0" fontId="30" fillId="2" borderId="1" xfId="0" applyFont="1" applyFill="1" applyBorder="1" applyAlignment="1" applyProtection="1">
      <alignment horizontal="center" vertical="center"/>
      <protection hidden="1"/>
    </xf>
    <xf numFmtId="0" fontId="30" fillId="2" borderId="0" xfId="0" applyFont="1" applyFill="1" applyAlignment="1" applyProtection="1">
      <alignment vertical="center"/>
      <protection hidden="1"/>
    </xf>
    <xf numFmtId="0" fontId="26" fillId="2" borderId="1" xfId="0" applyFont="1" applyFill="1" applyBorder="1" applyAlignment="1" applyProtection="1">
      <alignment horizontal="right" vertical="center"/>
      <protection hidden="1"/>
    </xf>
    <xf numFmtId="164" fontId="26" fillId="2" borderId="0" xfId="0" applyNumberFormat="1" applyFont="1" applyFill="1" applyAlignment="1" applyProtection="1">
      <alignment horizontal="left" vertical="center"/>
      <protection hidden="1"/>
    </xf>
    <xf numFmtId="0" fontId="37" fillId="2" borderId="0" xfId="0" applyFont="1" applyFill="1" applyAlignment="1" applyProtection="1">
      <alignment vertical="center"/>
      <protection hidden="1"/>
    </xf>
    <xf numFmtId="0" fontId="26" fillId="2" borderId="0" xfId="0" applyFont="1" applyFill="1" applyAlignment="1" applyProtection="1">
      <alignment vertical="center"/>
      <protection locked="0"/>
    </xf>
    <xf numFmtId="0" fontId="26" fillId="2" borderId="1" xfId="0" applyFont="1" applyFill="1" applyBorder="1" applyAlignment="1">
      <alignment horizontal="right" vertical="center"/>
    </xf>
    <xf numFmtId="0" fontId="26" fillId="2" borderId="1" xfId="0" applyFont="1" applyFill="1" applyBorder="1" applyAlignment="1" applyProtection="1">
      <alignment horizontal="left" vertical="center"/>
      <protection hidden="1"/>
    </xf>
    <xf numFmtId="0" fontId="26" fillId="2" borderId="1" xfId="0" applyFont="1" applyFill="1" applyBorder="1" applyAlignment="1">
      <alignment horizontal="right" vertical="center" wrapText="1"/>
    </xf>
    <xf numFmtId="0" fontId="26" fillId="2" borderId="2" xfId="0" applyFont="1" applyFill="1" applyBorder="1" applyAlignment="1" applyProtection="1">
      <alignment vertical="center"/>
      <protection locked="0"/>
    </xf>
    <xf numFmtId="0" fontId="26" fillId="2" borderId="1" xfId="0" applyFont="1" applyFill="1" applyBorder="1" applyAlignment="1" applyProtection="1">
      <alignment vertical="center"/>
      <protection locked="0"/>
    </xf>
    <xf numFmtId="0" fontId="30" fillId="2" borderId="0" xfId="0" applyFont="1" applyFill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30" fillId="2" borderId="2" xfId="0" applyFont="1" applyFill="1" applyBorder="1" applyAlignment="1">
      <alignment horizontal="center" vertical="center"/>
    </xf>
    <xf numFmtId="0" fontId="30" fillId="2" borderId="0" xfId="0" applyFont="1" applyFill="1" applyAlignment="1">
      <alignment vertical="center"/>
    </xf>
    <xf numFmtId="0" fontId="30" fillId="2" borderId="1" xfId="0" applyFont="1" applyFill="1" applyBorder="1" applyAlignment="1">
      <alignment vertical="center"/>
    </xf>
    <xf numFmtId="0" fontId="30" fillId="2" borderId="2" xfId="0" applyFont="1" applyFill="1" applyBorder="1" applyAlignment="1">
      <alignment vertical="center"/>
    </xf>
    <xf numFmtId="0" fontId="26" fillId="2" borderId="4" xfId="0" applyFont="1" applyFill="1" applyBorder="1" applyAlignment="1">
      <alignment vertical="center"/>
    </xf>
    <xf numFmtId="0" fontId="26" fillId="2" borderId="5" xfId="0" applyFont="1" applyFill="1" applyBorder="1" applyAlignment="1">
      <alignment vertical="center"/>
    </xf>
    <xf numFmtId="0" fontId="26" fillId="2" borderId="3" xfId="0" applyFont="1" applyFill="1" applyBorder="1" applyAlignment="1">
      <alignment vertical="center"/>
    </xf>
    <xf numFmtId="43" fontId="14" fillId="2" borderId="74" xfId="357" applyFont="1" applyFill="1" applyBorder="1" applyAlignment="1"/>
    <xf numFmtId="43" fontId="8" fillId="0" borderId="74" xfId="357" quotePrefix="1" applyFont="1" applyFill="1" applyBorder="1" applyAlignment="1"/>
    <xf numFmtId="43" fontId="8" fillId="0" borderId="74" xfId="357" applyFont="1" applyBorder="1" applyAlignment="1"/>
    <xf numFmtId="165" fontId="8" fillId="0" borderId="74" xfId="357" applyNumberFormat="1" applyFont="1" applyFill="1" applyBorder="1" applyAlignment="1"/>
    <xf numFmtId="43" fontId="14" fillId="0" borderId="74" xfId="357" applyFont="1" applyFill="1" applyBorder="1" applyAlignment="1">
      <alignment horizontal="right"/>
    </xf>
    <xf numFmtId="165" fontId="8" fillId="0" borderId="74" xfId="357" quotePrefix="1" applyNumberFormat="1" applyFont="1" applyFill="1" applyBorder="1" applyAlignment="1"/>
    <xf numFmtId="0" fontId="22" fillId="10" borderId="38" xfId="0" applyFont="1" applyFill="1" applyBorder="1" applyAlignment="1">
      <alignment horizontal="center"/>
    </xf>
    <xf numFmtId="43" fontId="22" fillId="5" borderId="74" xfId="357" applyFont="1" applyFill="1" applyBorder="1" applyAlignment="1" applyProtection="1">
      <alignment horizontal="center"/>
    </xf>
    <xf numFmtId="43" fontId="22" fillId="5" borderId="74" xfId="357" applyFont="1" applyFill="1" applyBorder="1" applyAlignment="1" applyProtection="1">
      <alignment horizontal="center"/>
      <protection locked="0"/>
    </xf>
    <xf numFmtId="2" fontId="22" fillId="5" borderId="20" xfId="0" applyNumberFormat="1" applyFont="1" applyFill="1" applyBorder="1" applyAlignment="1" applyProtection="1">
      <alignment horizontal="center" vertical="center"/>
      <protection locked="0"/>
    </xf>
    <xf numFmtId="169" fontId="8" fillId="0" borderId="74" xfId="357" applyNumberFormat="1" applyFont="1" applyBorder="1" applyAlignment="1">
      <alignment horizontal="right"/>
    </xf>
    <xf numFmtId="43" fontId="8" fillId="0" borderId="74" xfId="357" applyFont="1" applyBorder="1" applyAlignment="1">
      <alignment horizontal="right"/>
    </xf>
    <xf numFmtId="43" fontId="12" fillId="0" borderId="0" xfId="357" applyFont="1" applyFill="1" applyBorder="1" applyAlignment="1">
      <alignment horizontal="right"/>
    </xf>
    <xf numFmtId="43" fontId="8" fillId="3" borderId="6" xfId="357" applyFont="1" applyFill="1" applyBorder="1" applyAlignment="1"/>
    <xf numFmtId="43" fontId="12" fillId="0" borderId="45" xfId="357" applyFont="1" applyFill="1" applyBorder="1" applyAlignment="1">
      <alignment horizontal="right"/>
    </xf>
    <xf numFmtId="43" fontId="12" fillId="0" borderId="7" xfId="357" applyFont="1" applyBorder="1" applyAlignment="1"/>
    <xf numFmtId="43" fontId="8" fillId="0" borderId="47" xfId="357" applyFont="1" applyBorder="1" applyAlignment="1"/>
    <xf numFmtId="43" fontId="8" fillId="0" borderId="4" xfId="357" quotePrefix="1" applyFont="1" applyFill="1" applyBorder="1" applyAlignment="1"/>
    <xf numFmtId="43" fontId="12" fillId="0" borderId="38" xfId="357" applyFont="1" applyFill="1" applyBorder="1" applyAlignment="1">
      <alignment horizontal="right"/>
    </xf>
    <xf numFmtId="43" fontId="8" fillId="0" borderId="38" xfId="357" applyFont="1" applyBorder="1" applyAlignment="1"/>
    <xf numFmtId="165" fontId="8" fillId="0" borderId="37" xfId="357" applyNumberFormat="1" applyFont="1" applyFill="1" applyBorder="1" applyAlignment="1"/>
    <xf numFmtId="43" fontId="8" fillId="0" borderId="38" xfId="357" quotePrefix="1" applyFont="1" applyFill="1" applyBorder="1" applyAlignment="1"/>
    <xf numFmtId="165" fontId="8" fillId="0" borderId="1" xfId="357" applyNumberFormat="1" applyFont="1" applyFill="1" applyBorder="1" applyAlignment="1"/>
    <xf numFmtId="165" fontId="8" fillId="0" borderId="1" xfId="357" quotePrefix="1" applyNumberFormat="1" applyFont="1" applyFill="1" applyBorder="1" applyAlignment="1"/>
    <xf numFmtId="165" fontId="8" fillId="0" borderId="3" xfId="357" applyNumberFormat="1" applyFont="1" applyFill="1" applyBorder="1" applyAlignment="1"/>
    <xf numFmtId="43" fontId="12" fillId="0" borderId="47" xfId="357" applyFont="1" applyBorder="1" applyAlignment="1"/>
    <xf numFmtId="43" fontId="12" fillId="0" borderId="45" xfId="357" applyFont="1" applyBorder="1" applyAlignment="1"/>
    <xf numFmtId="43" fontId="12" fillId="0" borderId="38" xfId="357" applyFont="1" applyBorder="1" applyAlignment="1"/>
    <xf numFmtId="43" fontId="8" fillId="0" borderId="38" xfId="357" applyFont="1" applyFill="1" applyBorder="1" applyAlignment="1">
      <alignment horizontal="right"/>
    </xf>
    <xf numFmtId="43" fontId="8" fillId="3" borderId="38" xfId="357" applyFont="1" applyFill="1" applyBorder="1" applyAlignment="1"/>
    <xf numFmtId="43" fontId="21" fillId="11" borderId="0" xfId="357" applyFont="1" applyFill="1" applyBorder="1" applyAlignment="1"/>
    <xf numFmtId="43" fontId="8" fillId="3" borderId="45" xfId="357" applyFont="1" applyFill="1" applyBorder="1" applyAlignment="1"/>
    <xf numFmtId="43" fontId="8" fillId="0" borderId="0" xfId="357" applyFont="1" applyBorder="1" applyAlignment="1">
      <alignment horizontal="center"/>
    </xf>
    <xf numFmtId="43" fontId="8" fillId="3" borderId="7" xfId="357" applyFont="1" applyFill="1" applyBorder="1" applyAlignment="1"/>
    <xf numFmtId="43" fontId="39" fillId="2" borderId="76" xfId="357" applyFont="1" applyFill="1" applyBorder="1" applyAlignment="1" applyProtection="1">
      <alignment vertical="center"/>
      <protection hidden="1"/>
    </xf>
    <xf numFmtId="0" fontId="26" fillId="2" borderId="0" xfId="0" applyFont="1" applyFill="1" applyAlignment="1" applyProtection="1">
      <alignment horizontal="center" vertical="center"/>
      <protection hidden="1"/>
    </xf>
    <xf numFmtId="0" fontId="30" fillId="2" borderId="74" xfId="0" applyFont="1" applyFill="1" applyBorder="1" applyAlignment="1" applyProtection="1">
      <alignment horizontal="center" vertical="center"/>
      <protection hidden="1"/>
    </xf>
    <xf numFmtId="43" fontId="39" fillId="2" borderId="76" xfId="357" applyFont="1" applyFill="1" applyBorder="1" applyAlignment="1" applyProtection="1">
      <alignment horizontal="right" vertical="center"/>
      <protection hidden="1"/>
    </xf>
    <xf numFmtId="43" fontId="39" fillId="5" borderId="59" xfId="357" applyFont="1" applyFill="1" applyBorder="1" applyAlignment="1" applyProtection="1">
      <alignment horizontal="right" vertical="center"/>
      <protection hidden="1"/>
    </xf>
    <xf numFmtId="169" fontId="39" fillId="5" borderId="59" xfId="357" applyNumberFormat="1" applyFont="1" applyFill="1" applyBorder="1" applyAlignment="1" applyProtection="1">
      <alignment horizontal="right" vertical="center"/>
      <protection hidden="1"/>
    </xf>
    <xf numFmtId="43" fontId="24" fillId="3" borderId="75" xfId="357" applyFont="1" applyFill="1" applyBorder="1" applyAlignment="1"/>
    <xf numFmtId="43" fontId="24" fillId="3" borderId="77" xfId="357" applyFont="1" applyFill="1" applyBorder="1" applyAlignment="1"/>
    <xf numFmtId="43" fontId="24" fillId="3" borderId="78" xfId="357" applyFont="1" applyFill="1" applyBorder="1" applyAlignment="1"/>
    <xf numFmtId="43" fontId="24" fillId="3" borderId="79" xfId="357" applyFont="1" applyFill="1" applyBorder="1" applyAlignment="1"/>
    <xf numFmtId="166" fontId="39" fillId="5" borderId="81" xfId="0" applyNumberFormat="1" applyFont="1" applyFill="1" applyBorder="1" applyAlignment="1" applyProtection="1">
      <alignment vertical="center"/>
      <protection hidden="1"/>
    </xf>
    <xf numFmtId="44" fontId="39" fillId="5" borderId="80" xfId="0" applyNumberFormat="1" applyFont="1" applyFill="1" applyBorder="1" applyAlignment="1" applyProtection="1">
      <alignment vertical="center"/>
      <protection hidden="1"/>
    </xf>
    <xf numFmtId="44" fontId="39" fillId="5" borderId="81" xfId="0" applyNumberFormat="1" applyFont="1" applyFill="1" applyBorder="1" applyAlignment="1" applyProtection="1">
      <alignment vertical="center"/>
      <protection hidden="1"/>
    </xf>
    <xf numFmtId="170" fontId="49" fillId="5" borderId="60" xfId="1" applyNumberFormat="1" applyFont="1" applyFill="1" applyBorder="1" applyAlignment="1" applyProtection="1">
      <alignment vertical="center"/>
      <protection hidden="1"/>
    </xf>
    <xf numFmtId="170" fontId="49" fillId="2" borderId="60" xfId="1" applyNumberFormat="1" applyFont="1" applyFill="1" applyBorder="1" applyAlignment="1" applyProtection="1">
      <alignment horizontal="right" vertical="center"/>
      <protection hidden="1"/>
    </xf>
    <xf numFmtId="0" fontId="23" fillId="12" borderId="3" xfId="0" applyFont="1" applyFill="1" applyBorder="1" applyAlignment="1" applyProtection="1">
      <alignment horizontal="left" vertical="center"/>
      <protection hidden="1"/>
    </xf>
    <xf numFmtId="44" fontId="22" fillId="2" borderId="80" xfId="1" applyFont="1" applyFill="1" applyBorder="1" applyAlignment="1" applyProtection="1">
      <alignment vertical="center"/>
      <protection hidden="1"/>
    </xf>
    <xf numFmtId="170" fontId="49" fillId="2" borderId="59" xfId="1" applyNumberFormat="1" applyFont="1" applyFill="1" applyBorder="1" applyAlignment="1" applyProtection="1">
      <alignment horizontal="right" vertical="center"/>
      <protection hidden="1"/>
    </xf>
    <xf numFmtId="0" fontId="23" fillId="12" borderId="4" xfId="0" applyFont="1" applyFill="1" applyBorder="1" applyAlignment="1" applyProtection="1">
      <alignment horizontal="center" vertical="center"/>
      <protection hidden="1"/>
    </xf>
    <xf numFmtId="0" fontId="23" fillId="12" borderId="5" xfId="0" applyFont="1" applyFill="1" applyBorder="1" applyAlignment="1" applyProtection="1">
      <alignment horizontal="center" vertical="center"/>
      <protection hidden="1"/>
    </xf>
    <xf numFmtId="170" fontId="49" fillId="5" borderId="59" xfId="1" applyNumberFormat="1" applyFont="1" applyFill="1" applyBorder="1" applyAlignment="1" applyProtection="1">
      <alignment vertical="center"/>
      <protection hidden="1"/>
    </xf>
    <xf numFmtId="0" fontId="46" fillId="12" borderId="4" xfId="0" applyFont="1" applyFill="1" applyBorder="1" applyAlignment="1" applyProtection="1">
      <alignment horizontal="center" vertical="center"/>
      <protection hidden="1"/>
    </xf>
    <xf numFmtId="0" fontId="46" fillId="12" borderId="5" xfId="0" applyFont="1" applyFill="1" applyBorder="1" applyAlignment="1" applyProtection="1">
      <alignment horizontal="center" vertical="center"/>
      <protection hidden="1"/>
    </xf>
    <xf numFmtId="43" fontId="27" fillId="2" borderId="27" xfId="357" applyFont="1" applyFill="1" applyBorder="1" applyAlignment="1"/>
    <xf numFmtId="43" fontId="27" fillId="2" borderId="0" xfId="357" applyFont="1" applyFill="1" applyBorder="1" applyAlignment="1"/>
    <xf numFmtId="43" fontId="27" fillId="2" borderId="0" xfId="357" applyFont="1" applyFill="1" applyBorder="1" applyAlignment="1">
      <alignment horizontal="center"/>
    </xf>
    <xf numFmtId="43" fontId="12" fillId="0" borderId="45" xfId="0" applyNumberFormat="1" applyFont="1" applyBorder="1" applyAlignment="1">
      <alignment horizontal="right"/>
    </xf>
    <xf numFmtId="43" fontId="12" fillId="0" borderId="7" xfId="0" applyNumberFormat="1" applyFont="1" applyBorder="1"/>
    <xf numFmtId="165" fontId="8" fillId="0" borderId="1" xfId="0" applyNumberFormat="1" applyFont="1" applyBorder="1"/>
    <xf numFmtId="43" fontId="14" fillId="2" borderId="0" xfId="357" applyFont="1" applyFill="1" applyBorder="1" applyAlignment="1"/>
    <xf numFmtId="0" fontId="26" fillId="2" borderId="0" xfId="0" applyFont="1" applyFill="1" applyProtection="1">
      <protection hidden="1"/>
    </xf>
    <xf numFmtId="0" fontId="38" fillId="2" borderId="0" xfId="0" applyFont="1" applyFill="1" applyProtection="1">
      <protection locked="0" hidden="1"/>
    </xf>
    <xf numFmtId="0" fontId="26" fillId="5" borderId="0" xfId="0" applyFont="1" applyFill="1"/>
    <xf numFmtId="0" fontId="26" fillId="2" borderId="1" xfId="0" applyFont="1" applyFill="1" applyBorder="1"/>
    <xf numFmtId="0" fontId="26" fillId="2" borderId="0" xfId="0" applyFont="1" applyFill="1"/>
    <xf numFmtId="0" fontId="26" fillId="2" borderId="2" xfId="0" applyFont="1" applyFill="1" applyBorder="1"/>
    <xf numFmtId="0" fontId="30" fillId="2" borderId="0" xfId="0" applyFont="1" applyFill="1" applyAlignment="1" applyProtection="1">
      <alignment horizontal="center"/>
      <protection hidden="1"/>
    </xf>
    <xf numFmtId="0" fontId="26" fillId="2" borderId="0" xfId="0" applyFont="1" applyFill="1" applyAlignment="1" applyProtection="1">
      <alignment horizontal="left" vertical="center"/>
      <protection hidden="1"/>
    </xf>
    <xf numFmtId="0" fontId="30" fillId="2" borderId="85" xfId="0" applyFont="1" applyFill="1" applyBorder="1" applyAlignment="1" applyProtection="1">
      <alignment horizontal="center" vertical="center"/>
      <protection hidden="1"/>
    </xf>
    <xf numFmtId="164" fontId="26" fillId="2" borderId="0" xfId="0" applyNumberFormat="1" applyFont="1" applyFill="1" applyAlignment="1" applyProtection="1">
      <alignment horizontal="center" vertical="center"/>
      <protection hidden="1"/>
    </xf>
    <xf numFmtId="0" fontId="26" fillId="2" borderId="0" xfId="0" applyFont="1" applyFill="1" applyAlignment="1" applyProtection="1">
      <alignment horizontal="left"/>
      <protection hidden="1"/>
    </xf>
    <xf numFmtId="0" fontId="26" fillId="2" borderId="0" xfId="0" applyFont="1" applyFill="1" applyProtection="1">
      <protection locked="0"/>
    </xf>
    <xf numFmtId="0" fontId="26" fillId="5" borderId="0" xfId="0" applyFont="1" applyFill="1" applyProtection="1">
      <protection locked="0"/>
    </xf>
    <xf numFmtId="0" fontId="26" fillId="2" borderId="46" xfId="0" applyFont="1" applyFill="1" applyBorder="1" applyProtection="1">
      <protection hidden="1"/>
    </xf>
    <xf numFmtId="0" fontId="26" fillId="2" borderId="46" xfId="0" applyFont="1" applyFill="1" applyBorder="1" applyProtection="1">
      <protection locked="0"/>
    </xf>
    <xf numFmtId="0" fontId="26" fillId="2" borderId="1" xfId="0" applyFont="1" applyFill="1" applyBorder="1" applyProtection="1">
      <protection locked="0"/>
    </xf>
    <xf numFmtId="0" fontId="26" fillId="2" borderId="2" xfId="0" applyFont="1" applyFill="1" applyBorder="1" applyProtection="1">
      <protection locked="0"/>
    </xf>
    <xf numFmtId="0" fontId="26" fillId="5" borderId="0" xfId="0" applyFont="1" applyFill="1" applyProtection="1">
      <protection hidden="1"/>
    </xf>
    <xf numFmtId="0" fontId="26" fillId="2" borderId="0" xfId="0" applyFont="1" applyFill="1" applyAlignment="1" applyProtection="1">
      <alignment horizontal="center"/>
      <protection hidden="1"/>
    </xf>
    <xf numFmtId="0" fontId="23" fillId="12" borderId="37" xfId="0" applyFont="1" applyFill="1" applyBorder="1" applyAlignment="1" applyProtection="1">
      <alignment horizontal="center"/>
      <protection hidden="1"/>
    </xf>
    <xf numFmtId="0" fontId="23" fillId="12" borderId="38" xfId="0" applyFont="1" applyFill="1" applyBorder="1" applyAlignment="1" applyProtection="1">
      <alignment horizontal="center"/>
      <protection hidden="1"/>
    </xf>
    <xf numFmtId="0" fontId="23" fillId="12" borderId="47" xfId="0" applyFont="1" applyFill="1" applyBorder="1" applyAlignment="1" applyProtection="1">
      <alignment horizontal="center"/>
      <protection hidden="1"/>
    </xf>
    <xf numFmtId="0" fontId="30" fillId="5" borderId="0" xfId="0" applyFont="1" applyFill="1" applyAlignment="1">
      <alignment horizontal="center"/>
    </xf>
    <xf numFmtId="44" fontId="22" fillId="2" borderId="88" xfId="1" applyFont="1" applyFill="1" applyBorder="1" applyAlignment="1" applyProtection="1">
      <alignment vertical="center"/>
      <protection hidden="1"/>
    </xf>
    <xf numFmtId="170" fontId="49" fillId="2" borderId="85" xfId="1" applyNumberFormat="1" applyFont="1" applyFill="1" applyBorder="1" applyAlignment="1" applyProtection="1">
      <alignment vertical="center"/>
      <protection hidden="1"/>
    </xf>
    <xf numFmtId="170" fontId="49" fillId="2" borderId="89" xfId="1" applyNumberFormat="1" applyFont="1" applyFill="1" applyBorder="1" applyAlignment="1" applyProtection="1">
      <alignment vertical="center"/>
      <protection hidden="1"/>
    </xf>
    <xf numFmtId="44" fontId="22" fillId="2" borderId="90" xfId="1" applyFont="1" applyFill="1" applyBorder="1" applyAlignment="1" applyProtection="1">
      <alignment vertical="center"/>
      <protection hidden="1"/>
    </xf>
    <xf numFmtId="170" fontId="49" fillId="2" borderId="91" xfId="1" applyNumberFormat="1" applyFont="1" applyFill="1" applyBorder="1" applyAlignment="1" applyProtection="1">
      <alignment horizontal="center" vertical="center"/>
      <protection hidden="1"/>
    </xf>
    <xf numFmtId="170" fontId="49" fillId="2" borderId="91" xfId="1" applyNumberFormat="1" applyFont="1" applyFill="1" applyBorder="1" applyAlignment="1" applyProtection="1">
      <alignment vertical="center"/>
      <protection hidden="1"/>
    </xf>
    <xf numFmtId="170" fontId="49" fillId="2" borderId="92" xfId="1" applyNumberFormat="1" applyFont="1" applyFill="1" applyBorder="1" applyAlignment="1" applyProtection="1">
      <alignment vertical="center"/>
      <protection hidden="1"/>
    </xf>
    <xf numFmtId="44" fontId="22" fillId="5" borderId="0" xfId="1" applyFont="1" applyFill="1" applyBorder="1" applyAlignment="1" applyProtection="1">
      <alignment horizontal="center" vertical="center"/>
      <protection hidden="1"/>
    </xf>
    <xf numFmtId="0" fontId="22" fillId="5" borderId="0" xfId="0" applyFont="1" applyFill="1" applyAlignment="1" applyProtection="1">
      <alignment horizontal="center" vertical="center"/>
      <protection hidden="1"/>
    </xf>
    <xf numFmtId="0" fontId="30" fillId="2" borderId="1" xfId="0" applyFont="1" applyFill="1" applyBorder="1" applyAlignment="1">
      <alignment horizontal="center"/>
    </xf>
    <xf numFmtId="0" fontId="30" fillId="2" borderId="0" xfId="0" applyFont="1" applyFill="1" applyAlignment="1">
      <alignment horizontal="center"/>
    </xf>
    <xf numFmtId="0" fontId="30" fillId="2" borderId="2" xfId="0" applyFont="1" applyFill="1" applyBorder="1" applyAlignment="1">
      <alignment horizontal="center"/>
    </xf>
    <xf numFmtId="44" fontId="39" fillId="5" borderId="88" xfId="0" applyNumberFormat="1" applyFont="1" applyFill="1" applyBorder="1" applyAlignment="1" applyProtection="1">
      <alignment vertical="center"/>
      <protection hidden="1"/>
    </xf>
    <xf numFmtId="43" fontId="39" fillId="5" borderId="85" xfId="1158" applyFont="1" applyFill="1" applyBorder="1" applyAlignment="1" applyProtection="1">
      <alignment vertical="center"/>
      <protection hidden="1"/>
    </xf>
    <xf numFmtId="44" fontId="39" fillId="2" borderId="88" xfId="0" applyNumberFormat="1" applyFont="1" applyFill="1" applyBorder="1" applyAlignment="1" applyProtection="1">
      <alignment vertical="center"/>
      <protection hidden="1"/>
    </xf>
    <xf numFmtId="43" fontId="39" fillId="2" borderId="85" xfId="1158" applyFont="1" applyFill="1" applyBorder="1" applyAlignment="1" applyProtection="1">
      <alignment vertical="center"/>
      <protection hidden="1"/>
    </xf>
    <xf numFmtId="44" fontId="47" fillId="18" borderId="93" xfId="0" applyNumberFormat="1" applyFont="1" applyFill="1" applyBorder="1" applyAlignment="1" applyProtection="1">
      <alignment vertical="center"/>
      <protection hidden="1"/>
    </xf>
    <xf numFmtId="44" fontId="27" fillId="18" borderId="94" xfId="0" applyNumberFormat="1" applyFont="1" applyFill="1" applyBorder="1" applyAlignment="1" applyProtection="1">
      <alignment vertical="center"/>
      <protection hidden="1"/>
    </xf>
    <xf numFmtId="44" fontId="27" fillId="18" borderId="95" xfId="0" applyNumberFormat="1" applyFont="1" applyFill="1" applyBorder="1" applyAlignment="1" applyProtection="1">
      <alignment vertical="center"/>
      <protection hidden="1"/>
    </xf>
    <xf numFmtId="44" fontId="39" fillId="5" borderId="74" xfId="0" applyNumberFormat="1" applyFont="1" applyFill="1" applyBorder="1" applyAlignment="1" applyProtection="1">
      <alignment vertical="center"/>
      <protection hidden="1"/>
    </xf>
    <xf numFmtId="43" fontId="39" fillId="5" borderId="74" xfId="1158" applyFont="1" applyFill="1" applyBorder="1" applyAlignment="1" applyProtection="1">
      <alignment vertical="center"/>
      <protection hidden="1"/>
    </xf>
    <xf numFmtId="44" fontId="47" fillId="14" borderId="96" xfId="0" applyNumberFormat="1" applyFont="1" applyFill="1" applyBorder="1" applyAlignment="1" applyProtection="1">
      <alignment vertical="center"/>
      <protection hidden="1"/>
    </xf>
    <xf numFmtId="44" fontId="27" fillId="14" borderId="97" xfId="0" applyNumberFormat="1" applyFont="1" applyFill="1" applyBorder="1" applyAlignment="1" applyProtection="1">
      <alignment vertical="center"/>
      <protection hidden="1"/>
    </xf>
    <xf numFmtId="44" fontId="47" fillId="5" borderId="0" xfId="0" applyNumberFormat="1" applyFont="1" applyFill="1" applyAlignment="1" applyProtection="1">
      <alignment vertical="center"/>
      <protection hidden="1"/>
    </xf>
    <xf numFmtId="44" fontId="23" fillId="5" borderId="0" xfId="0" applyNumberFormat="1" applyFont="1" applyFill="1" applyAlignment="1" applyProtection="1">
      <alignment horizontal="center" vertical="center"/>
      <protection hidden="1"/>
    </xf>
    <xf numFmtId="44" fontId="27" fillId="5" borderId="0" xfId="0" applyNumberFormat="1" applyFont="1" applyFill="1" applyAlignment="1" applyProtection="1">
      <alignment vertical="center"/>
      <protection hidden="1"/>
    </xf>
    <xf numFmtId="0" fontId="26" fillId="2" borderId="2" xfId="0" applyFont="1" applyFill="1" applyBorder="1" applyAlignment="1" applyProtection="1">
      <alignment horizontal="center"/>
      <protection hidden="1"/>
    </xf>
    <xf numFmtId="0" fontId="26" fillId="5" borderId="0" xfId="0" applyFont="1" applyFill="1" applyAlignment="1" applyProtection="1">
      <alignment horizontal="center"/>
      <protection hidden="1"/>
    </xf>
    <xf numFmtId="44" fontId="27" fillId="18" borderId="93" xfId="0" applyNumberFormat="1" applyFont="1" applyFill="1" applyBorder="1" applyAlignment="1" applyProtection="1">
      <alignment vertical="center"/>
      <protection hidden="1"/>
    </xf>
    <xf numFmtId="172" fontId="39" fillId="5" borderId="74" xfId="1158" applyNumberFormat="1" applyFont="1" applyFill="1" applyBorder="1" applyAlignment="1" applyProtection="1">
      <alignment vertical="center"/>
      <protection hidden="1"/>
    </xf>
    <xf numFmtId="0" fontId="26" fillId="2" borderId="0" xfId="0" applyFont="1" applyFill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/>
    </xf>
    <xf numFmtId="0" fontId="26" fillId="5" borderId="0" xfId="0" applyFont="1" applyFill="1" applyAlignment="1">
      <alignment horizontal="center" vertical="center" wrapText="1"/>
    </xf>
    <xf numFmtId="0" fontId="8" fillId="5" borderId="0" xfId="0" applyFont="1" applyFill="1" applyAlignment="1">
      <alignment vertical="center"/>
    </xf>
    <xf numFmtId="44" fontId="8" fillId="2" borderId="0" xfId="1" applyFont="1" applyFill="1" applyBorder="1" applyAlignment="1" applyProtection="1">
      <alignment horizontal="center"/>
    </xf>
    <xf numFmtId="43" fontId="14" fillId="2" borderId="0" xfId="1158" applyFont="1" applyFill="1" applyBorder="1" applyAlignment="1">
      <alignment vertical="center"/>
    </xf>
    <xf numFmtId="43" fontId="14" fillId="0" borderId="2" xfId="1158" applyFont="1" applyFill="1" applyBorder="1" applyAlignment="1">
      <alignment vertical="center"/>
    </xf>
    <xf numFmtId="165" fontId="14" fillId="0" borderId="0" xfId="1158" applyNumberFormat="1" applyFont="1" applyFill="1" applyBorder="1" applyAlignment="1">
      <alignment horizontal="left" vertical="center"/>
    </xf>
    <xf numFmtId="43" fontId="50" fillId="0" borderId="0" xfId="0" applyNumberFormat="1" applyFont="1"/>
    <xf numFmtId="165" fontId="8" fillId="0" borderId="0" xfId="0" applyNumberFormat="1" applyFont="1"/>
    <xf numFmtId="43" fontId="12" fillId="0" borderId="0" xfId="0" applyNumberFormat="1" applyFont="1"/>
    <xf numFmtId="0" fontId="0" fillId="0" borderId="2" xfId="0" applyBorder="1"/>
    <xf numFmtId="44" fontId="8" fillId="2" borderId="4" xfId="1" applyFont="1" applyFill="1" applyBorder="1" applyAlignment="1" applyProtection="1">
      <alignment horizontal="center"/>
    </xf>
    <xf numFmtId="43" fontId="14" fillId="2" borderId="4" xfId="1158" applyFont="1" applyFill="1" applyBorder="1" applyAlignment="1">
      <alignment vertical="center"/>
    </xf>
    <xf numFmtId="43" fontId="14" fillId="0" borderId="5" xfId="1158" applyFont="1" applyFill="1" applyBorder="1" applyAlignment="1">
      <alignment vertical="center"/>
    </xf>
    <xf numFmtId="0" fontId="8" fillId="0" borderId="1" xfId="0" applyFont="1" applyBorder="1"/>
    <xf numFmtId="165" fontId="14" fillId="0" borderId="0" xfId="643" applyNumberFormat="1" applyFont="1" applyFill="1" applyBorder="1" applyAlignment="1">
      <alignment horizontal="left" vertical="center"/>
    </xf>
    <xf numFmtId="0" fontId="8" fillId="0" borderId="3" xfId="0" applyFont="1" applyBorder="1"/>
    <xf numFmtId="165" fontId="14" fillId="0" borderId="4" xfId="643" applyNumberFormat="1" applyFont="1" applyFill="1" applyBorder="1" applyAlignment="1">
      <alignment horizontal="left" vertical="center"/>
    </xf>
    <xf numFmtId="0" fontId="8" fillId="0" borderId="0" xfId="0" quotePrefix="1" applyFont="1"/>
    <xf numFmtId="43" fontId="8" fillId="2" borderId="0" xfId="1158" applyFont="1" applyFill="1" applyBorder="1" applyAlignment="1" applyProtection="1">
      <alignment horizontal="center"/>
    </xf>
    <xf numFmtId="43" fontId="8" fillId="0" borderId="2" xfId="1158" applyFont="1" applyFill="1" applyBorder="1" applyAlignment="1" applyProtection="1">
      <alignment horizontal="center"/>
    </xf>
    <xf numFmtId="0" fontId="8" fillId="0" borderId="4" xfId="0" quotePrefix="1" applyFont="1" applyBorder="1"/>
    <xf numFmtId="43" fontId="8" fillId="2" borderId="4" xfId="1158" applyFont="1" applyFill="1" applyBorder="1" applyAlignment="1" applyProtection="1">
      <alignment horizontal="center"/>
    </xf>
    <xf numFmtId="43" fontId="8" fillId="0" borderId="5" xfId="1158" applyFont="1" applyFill="1" applyBorder="1" applyAlignment="1" applyProtection="1">
      <alignment horizontal="center"/>
    </xf>
    <xf numFmtId="0" fontId="8" fillId="0" borderId="37" xfId="0" applyFont="1" applyBorder="1"/>
    <xf numFmtId="165" fontId="14" fillId="0" borderId="38" xfId="643" applyNumberFormat="1" applyFont="1" applyFill="1" applyBorder="1" applyAlignment="1">
      <alignment horizontal="left" vertical="center"/>
    </xf>
    <xf numFmtId="44" fontId="8" fillId="2" borderId="38" xfId="1" applyFont="1" applyFill="1" applyBorder="1" applyAlignment="1" applyProtection="1">
      <alignment horizontal="center"/>
    </xf>
    <xf numFmtId="43" fontId="14" fillId="2" borderId="38" xfId="1158" applyFont="1" applyFill="1" applyBorder="1" applyAlignment="1">
      <alignment vertical="center"/>
    </xf>
    <xf numFmtId="43" fontId="14" fillId="0" borderId="47" xfId="1158" applyFont="1" applyFill="1" applyBorder="1" applyAlignment="1">
      <alignment vertical="center"/>
    </xf>
    <xf numFmtId="0" fontId="8" fillId="0" borderId="38" xfId="0" quotePrefix="1" applyFont="1" applyBorder="1"/>
    <xf numFmtId="43" fontId="8" fillId="2" borderId="38" xfId="1158" applyFont="1" applyFill="1" applyBorder="1" applyAlignment="1" applyProtection="1">
      <alignment horizontal="center"/>
    </xf>
    <xf numFmtId="43" fontId="8" fillId="0" borderId="47" xfId="1158" applyFont="1" applyFill="1" applyBorder="1" applyAlignment="1" applyProtection="1">
      <alignment horizontal="center"/>
    </xf>
    <xf numFmtId="43" fontId="27" fillId="0" borderId="0" xfId="357" applyFont="1" applyFill="1" applyBorder="1" applyAlignment="1"/>
    <xf numFmtId="43" fontId="12" fillId="0" borderId="0" xfId="357" applyFont="1" applyFill="1" applyBorder="1" applyAlignment="1"/>
    <xf numFmtId="43" fontId="14" fillId="0" borderId="7" xfId="357" applyFont="1" applyFill="1" applyBorder="1" applyAlignment="1">
      <alignment horizontal="right"/>
    </xf>
    <xf numFmtId="165" fontId="14" fillId="0" borderId="74" xfId="1158" applyNumberFormat="1" applyFont="1" applyFill="1" applyBorder="1" applyAlignment="1">
      <alignment horizontal="left" vertical="center"/>
    </xf>
    <xf numFmtId="0" fontId="14" fillId="0" borderId="74" xfId="1158" applyNumberFormat="1" applyFont="1" applyFill="1" applyBorder="1" applyAlignment="1">
      <alignment horizontal="left" vertical="center"/>
    </xf>
    <xf numFmtId="0" fontId="8" fillId="0" borderId="74" xfId="0" applyFont="1" applyBorder="1"/>
    <xf numFmtId="43" fontId="12" fillId="0" borderId="74" xfId="357" applyFont="1" applyFill="1" applyBorder="1" applyAlignment="1">
      <alignment horizontal="right"/>
    </xf>
    <xf numFmtId="43" fontId="12" fillId="0" borderId="74" xfId="357" applyFont="1" applyBorder="1" applyAlignment="1"/>
    <xf numFmtId="0" fontId="27" fillId="6" borderId="14" xfId="0" applyFont="1" applyFill="1" applyBorder="1"/>
    <xf numFmtId="0" fontId="27" fillId="6" borderId="22" xfId="0" applyFont="1" applyFill="1" applyBorder="1" applyAlignment="1" applyProtection="1">
      <alignment horizontal="center"/>
      <protection locked="0"/>
    </xf>
    <xf numFmtId="0" fontId="22" fillId="5" borderId="107" xfId="0" applyFont="1" applyFill="1" applyBorder="1" applyAlignment="1">
      <alignment vertical="center"/>
    </xf>
    <xf numFmtId="0" fontId="22" fillId="5" borderId="108" xfId="0" applyFont="1" applyFill="1" applyBorder="1" applyAlignment="1">
      <alignment vertical="center"/>
    </xf>
    <xf numFmtId="0" fontId="22" fillId="8" borderId="0" xfId="0" applyFont="1" applyFill="1"/>
    <xf numFmtId="0" fontId="23" fillId="5" borderId="111" xfId="0" applyFont="1" applyFill="1" applyBorder="1" applyProtection="1">
      <protection locked="0"/>
    </xf>
    <xf numFmtId="0" fontId="22" fillId="5" borderId="111" xfId="0" applyFont="1" applyFill="1" applyBorder="1"/>
    <xf numFmtId="0" fontId="22" fillId="0" borderId="111" xfId="0" applyFont="1" applyBorder="1"/>
    <xf numFmtId="6" fontId="49" fillId="2" borderId="85" xfId="1" applyNumberFormat="1" applyFont="1" applyFill="1" applyBorder="1" applyAlignment="1" applyProtection="1">
      <alignment horizontal="right" vertical="center"/>
      <protection hidden="1"/>
    </xf>
    <xf numFmtId="165" fontId="8" fillId="0" borderId="112" xfId="357" applyNumberFormat="1" applyFont="1" applyFill="1" applyBorder="1" applyAlignment="1"/>
    <xf numFmtId="43" fontId="8" fillId="0" borderId="112" xfId="357" quotePrefix="1" applyFont="1" applyFill="1" applyBorder="1" applyAlignment="1"/>
    <xf numFmtId="43" fontId="14" fillId="0" borderId="5" xfId="357" applyFont="1" applyFill="1" applyBorder="1" applyAlignment="1">
      <alignment horizontal="right"/>
    </xf>
    <xf numFmtId="43" fontId="14" fillId="0" borderId="112" xfId="357" applyFont="1" applyFill="1" applyBorder="1" applyAlignment="1">
      <alignment horizontal="right"/>
    </xf>
    <xf numFmtId="43" fontId="14" fillId="2" borderId="112" xfId="357" applyFont="1" applyFill="1" applyBorder="1" applyAlignment="1"/>
    <xf numFmtId="43" fontId="8" fillId="0" borderId="112" xfId="357" applyFont="1" applyBorder="1" applyAlignment="1"/>
    <xf numFmtId="167" fontId="8" fillId="0" borderId="5" xfId="357" applyNumberFormat="1" applyFont="1" applyBorder="1" applyAlignment="1"/>
    <xf numFmtId="0" fontId="46" fillId="5" borderId="0" xfId="0" applyFont="1" applyFill="1" applyAlignment="1" applyProtection="1">
      <alignment horizontal="center" vertical="center"/>
      <protection hidden="1"/>
    </xf>
    <xf numFmtId="170" fontId="49" fillId="5" borderId="0" xfId="1" applyNumberFormat="1" applyFont="1" applyFill="1" applyBorder="1" applyAlignment="1" applyProtection="1">
      <alignment vertical="center"/>
      <protection hidden="1"/>
    </xf>
    <xf numFmtId="0" fontId="23" fillId="5" borderId="0" xfId="0" applyFont="1" applyFill="1" applyAlignment="1" applyProtection="1">
      <alignment horizontal="center" vertical="center"/>
      <protection hidden="1"/>
    </xf>
    <xf numFmtId="0" fontId="27" fillId="5" borderId="0" xfId="0" applyFont="1" applyFill="1" applyAlignment="1" applyProtection="1">
      <alignment horizontal="center" vertical="center"/>
      <protection hidden="1"/>
    </xf>
    <xf numFmtId="44" fontId="22" fillId="2" borderId="113" xfId="1" applyFont="1" applyFill="1" applyBorder="1" applyAlignment="1" applyProtection="1">
      <alignment vertical="center"/>
      <protection hidden="1"/>
    </xf>
    <xf numFmtId="44" fontId="22" fillId="2" borderId="114" xfId="1" applyFont="1" applyFill="1" applyBorder="1" applyAlignment="1" applyProtection="1">
      <alignment vertical="center"/>
      <protection hidden="1"/>
    </xf>
    <xf numFmtId="170" fontId="49" fillId="5" borderId="74" xfId="1" applyNumberFormat="1" applyFont="1" applyFill="1" applyBorder="1" applyAlignment="1" applyProtection="1">
      <alignment vertical="center"/>
      <protection hidden="1"/>
    </xf>
    <xf numFmtId="49" fontId="49" fillId="5" borderId="74" xfId="1" applyNumberFormat="1" applyFont="1" applyFill="1" applyBorder="1" applyAlignment="1" applyProtection="1">
      <alignment horizontal="right" vertical="center"/>
      <protection hidden="1"/>
    </xf>
    <xf numFmtId="44" fontId="47" fillId="14" borderId="0" xfId="0" applyNumberFormat="1" applyFont="1" applyFill="1" applyAlignment="1" applyProtection="1">
      <alignment vertical="center"/>
      <protection hidden="1"/>
    </xf>
    <xf numFmtId="44" fontId="27" fillId="14" borderId="0" xfId="0" applyNumberFormat="1" applyFont="1" applyFill="1" applyAlignment="1" applyProtection="1">
      <alignment vertical="center"/>
      <protection hidden="1"/>
    </xf>
    <xf numFmtId="44" fontId="27" fillId="19" borderId="116" xfId="0" applyNumberFormat="1" applyFont="1" applyFill="1" applyBorder="1" applyAlignment="1" applyProtection="1">
      <alignment vertical="center"/>
      <protection hidden="1"/>
    </xf>
    <xf numFmtId="44" fontId="27" fillId="14" borderId="52" xfId="0" applyNumberFormat="1" applyFont="1" applyFill="1" applyBorder="1" applyAlignment="1" applyProtection="1">
      <alignment vertical="center"/>
      <protection hidden="1"/>
    </xf>
    <xf numFmtId="43" fontId="8" fillId="0" borderId="0" xfId="357" applyFont="1" applyFill="1" applyAlignment="1"/>
    <xf numFmtId="43" fontId="14" fillId="0" borderId="74" xfId="357" applyFont="1" applyFill="1" applyBorder="1" applyAlignment="1"/>
    <xf numFmtId="43" fontId="8" fillId="0" borderId="74" xfId="357" applyFont="1" applyFill="1" applyBorder="1" applyAlignment="1"/>
    <xf numFmtId="0" fontId="8" fillId="20" borderId="74" xfId="0" applyFont="1" applyFill="1" applyBorder="1"/>
    <xf numFmtId="165" fontId="14" fillId="20" borderId="74" xfId="1158" applyNumberFormat="1" applyFont="1" applyFill="1" applyBorder="1" applyAlignment="1">
      <alignment horizontal="left" vertical="center"/>
    </xf>
    <xf numFmtId="43" fontId="14" fillId="20" borderId="7" xfId="357" applyFont="1" applyFill="1" applyBorder="1" applyAlignment="1">
      <alignment horizontal="right"/>
    </xf>
    <xf numFmtId="43" fontId="14" fillId="20" borderId="74" xfId="357" applyFont="1" applyFill="1" applyBorder="1" applyAlignment="1">
      <alignment horizontal="right"/>
    </xf>
    <xf numFmtId="43" fontId="8" fillId="20" borderId="0" xfId="357" applyFont="1" applyFill="1" applyAlignment="1"/>
    <xf numFmtId="43" fontId="14" fillId="20" borderId="74" xfId="357" applyFont="1" applyFill="1" applyBorder="1" applyAlignment="1"/>
    <xf numFmtId="43" fontId="8" fillId="20" borderId="74" xfId="357" applyFont="1" applyFill="1" applyBorder="1" applyAlignment="1"/>
    <xf numFmtId="0" fontId="27" fillId="7" borderId="0" xfId="0" applyFont="1" applyFill="1" applyAlignment="1">
      <alignment horizontal="left"/>
    </xf>
    <xf numFmtId="0" fontId="22" fillId="5" borderId="75" xfId="0" applyFont="1" applyFill="1" applyBorder="1" applyProtection="1">
      <protection locked="0"/>
    </xf>
    <xf numFmtId="0" fontId="22" fillId="5" borderId="117" xfId="0" applyFont="1" applyFill="1" applyBorder="1" applyProtection="1">
      <protection locked="0"/>
    </xf>
    <xf numFmtId="0" fontId="22" fillId="5" borderId="117" xfId="0" applyFont="1" applyFill="1" applyBorder="1"/>
    <xf numFmtId="0" fontId="27" fillId="6" borderId="112" xfId="0" applyFont="1" applyFill="1" applyBorder="1" applyAlignment="1" applyProtection="1">
      <alignment horizontal="center"/>
      <protection locked="0"/>
    </xf>
    <xf numFmtId="165" fontId="22" fillId="5" borderId="0" xfId="357" applyNumberFormat="1" applyFont="1" applyFill="1" applyBorder="1" applyAlignment="1" applyProtection="1">
      <protection locked="0"/>
    </xf>
    <xf numFmtId="9" fontId="49" fillId="2" borderId="23" xfId="1159" applyFont="1" applyFill="1" applyBorder="1" applyAlignment="1" applyProtection="1">
      <alignment horizontal="right" vertical="center"/>
      <protection hidden="1"/>
    </xf>
    <xf numFmtId="165" fontId="8" fillId="20" borderId="74" xfId="357" applyNumberFormat="1" applyFont="1" applyFill="1" applyBorder="1" applyAlignment="1"/>
    <xf numFmtId="43" fontId="8" fillId="20" borderId="74" xfId="357" quotePrefix="1" applyFont="1" applyFill="1" applyBorder="1" applyAlignment="1"/>
    <xf numFmtId="43" fontId="39" fillId="5" borderId="59" xfId="357" applyFont="1" applyFill="1" applyBorder="1" applyAlignment="1" applyProtection="1">
      <alignment vertical="center"/>
      <protection hidden="1"/>
    </xf>
    <xf numFmtId="0" fontId="55" fillId="5" borderId="0" xfId="0" applyFont="1" applyFill="1" applyAlignment="1">
      <alignment horizontal="right" vertical="center"/>
    </xf>
    <xf numFmtId="0" fontId="22" fillId="5" borderId="45" xfId="0" applyFont="1" applyFill="1" applyBorder="1" applyAlignment="1">
      <alignment horizontal="center"/>
    </xf>
    <xf numFmtId="0" fontId="22" fillId="0" borderId="37" xfId="0" applyFont="1" applyBorder="1" applyAlignment="1">
      <alignment horizontal="center" vertical="center" wrapText="1"/>
    </xf>
    <xf numFmtId="0" fontId="22" fillId="0" borderId="47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0" fillId="4" borderId="3" xfId="0" applyFont="1" applyFill="1" applyBorder="1" applyAlignment="1" applyProtection="1">
      <alignment horizontal="center"/>
      <protection locked="0"/>
    </xf>
    <xf numFmtId="0" fontId="10" fillId="4" borderId="5" xfId="0" applyFont="1" applyFill="1" applyBorder="1" applyAlignment="1" applyProtection="1">
      <alignment horizontal="center"/>
      <protection locked="0"/>
    </xf>
    <xf numFmtId="0" fontId="27" fillId="7" borderId="4" xfId="0" applyFont="1" applyFill="1" applyBorder="1" applyAlignment="1">
      <alignment horizontal="left"/>
    </xf>
    <xf numFmtId="0" fontId="22" fillId="0" borderId="13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10" fillId="4" borderId="16" xfId="0" applyFont="1" applyFill="1" applyBorder="1" applyAlignment="1" applyProtection="1">
      <alignment horizontal="center"/>
      <protection locked="0"/>
    </xf>
    <xf numFmtId="0" fontId="10" fillId="4" borderId="17" xfId="0" applyFont="1" applyFill="1" applyBorder="1" applyAlignment="1" applyProtection="1">
      <alignment horizontal="center"/>
      <protection locked="0"/>
    </xf>
    <xf numFmtId="0" fontId="27" fillId="7" borderId="0" xfId="0" applyFont="1" applyFill="1" applyAlignment="1">
      <alignment horizontal="left"/>
    </xf>
    <xf numFmtId="0" fontId="44" fillId="0" borderId="72" xfId="0" applyFont="1" applyBorder="1" applyAlignment="1">
      <alignment horizontal="left" vertical="center" wrapText="1"/>
    </xf>
    <xf numFmtId="0" fontId="44" fillId="0" borderId="73" xfId="0" applyFont="1" applyBorder="1" applyAlignment="1">
      <alignment horizontal="left" vertical="center" wrapText="1"/>
    </xf>
    <xf numFmtId="0" fontId="44" fillId="0" borderId="0" xfId="0" applyFont="1" applyAlignment="1">
      <alignment horizontal="left" vertical="center" wrapText="1"/>
    </xf>
    <xf numFmtId="0" fontId="44" fillId="0" borderId="35" xfId="0" applyFont="1" applyBorder="1" applyAlignment="1">
      <alignment horizontal="left" vertical="center" wrapText="1"/>
    </xf>
    <xf numFmtId="0" fontId="44" fillId="0" borderId="18" xfId="0" applyFont="1" applyBorder="1" applyAlignment="1">
      <alignment horizontal="left" vertical="center" wrapText="1"/>
    </xf>
    <xf numFmtId="0" fontId="44" fillId="0" borderId="19" xfId="0" applyFont="1" applyBorder="1" applyAlignment="1">
      <alignment horizontal="left" vertical="center" wrapText="1"/>
    </xf>
    <xf numFmtId="0" fontId="27" fillId="6" borderId="6" xfId="0" applyFont="1" applyFill="1" applyBorder="1" applyAlignment="1">
      <alignment horizontal="center"/>
    </xf>
    <xf numFmtId="0" fontId="27" fillId="6" borderId="45" xfId="0" applyFont="1" applyFill="1" applyBorder="1" applyAlignment="1">
      <alignment horizontal="center"/>
    </xf>
    <xf numFmtId="0" fontId="27" fillId="6" borderId="7" xfId="0" applyFont="1" applyFill="1" applyBorder="1" applyAlignment="1">
      <alignment horizontal="center"/>
    </xf>
    <xf numFmtId="0" fontId="10" fillId="4" borderId="10" xfId="0" applyFont="1" applyFill="1" applyBorder="1" applyProtection="1">
      <protection locked="0"/>
    </xf>
    <xf numFmtId="0" fontId="10" fillId="4" borderId="11" xfId="0" applyFont="1" applyFill="1" applyBorder="1" applyProtection="1">
      <protection locked="0"/>
    </xf>
    <xf numFmtId="0" fontId="27" fillId="9" borderId="6" xfId="0" applyFont="1" applyFill="1" applyBorder="1" applyAlignment="1">
      <alignment horizontal="center"/>
    </xf>
    <xf numFmtId="0" fontId="27" fillId="9" borderId="45" xfId="0" applyFont="1" applyFill="1" applyBorder="1" applyAlignment="1">
      <alignment horizontal="center"/>
    </xf>
    <xf numFmtId="0" fontId="27" fillId="9" borderId="7" xfId="0" applyFont="1" applyFill="1" applyBorder="1" applyAlignment="1">
      <alignment horizontal="center"/>
    </xf>
    <xf numFmtId="0" fontId="22" fillId="5" borderId="13" xfId="0" applyFont="1" applyFill="1" applyBorder="1" applyAlignment="1">
      <alignment horizontal="center" vertical="center"/>
    </xf>
    <xf numFmtId="0" fontId="22" fillId="5" borderId="14" xfId="0" applyFont="1" applyFill="1" applyBorder="1" applyAlignment="1">
      <alignment horizontal="center" vertical="center"/>
    </xf>
    <xf numFmtId="0" fontId="10" fillId="5" borderId="0" xfId="0" applyFont="1" applyFill="1"/>
    <xf numFmtId="0" fontId="27" fillId="8" borderId="105" xfId="0" applyFont="1" applyFill="1" applyBorder="1" applyAlignment="1">
      <alignment horizontal="center"/>
    </xf>
    <xf numFmtId="0" fontId="27" fillId="8" borderId="106" xfId="0" applyFont="1" applyFill="1" applyBorder="1" applyAlignment="1">
      <alignment horizontal="center"/>
    </xf>
    <xf numFmtId="0" fontId="26" fillId="5" borderId="0" xfId="0" applyFont="1" applyFill="1" applyAlignment="1">
      <alignment horizontal="right"/>
    </xf>
    <xf numFmtId="0" fontId="25" fillId="0" borderId="0" xfId="0" applyFont="1" applyAlignment="1" applyProtection="1">
      <alignment horizontal="center"/>
      <protection hidden="1"/>
    </xf>
    <xf numFmtId="0" fontId="22" fillId="0" borderId="10" xfId="0" applyFont="1" applyBorder="1" applyAlignment="1">
      <alignment horizontal="left"/>
    </xf>
    <xf numFmtId="0" fontId="27" fillId="0" borderId="0" xfId="0" applyFont="1" applyAlignment="1" applyProtection="1">
      <alignment horizontal="left" vertical="center"/>
      <protection locked="0"/>
    </xf>
    <xf numFmtId="0" fontId="22" fillId="5" borderId="6" xfId="0" applyFont="1" applyFill="1" applyBorder="1" applyAlignment="1">
      <alignment horizontal="left" indent="1"/>
    </xf>
    <xf numFmtId="0" fontId="22" fillId="5" borderId="45" xfId="0" applyFont="1" applyFill="1" applyBorder="1" applyAlignment="1">
      <alignment horizontal="left" indent="1"/>
    </xf>
    <xf numFmtId="0" fontId="22" fillId="5" borderId="7" xfId="0" applyFont="1" applyFill="1" applyBorder="1" applyAlignment="1">
      <alignment horizontal="left" indent="1"/>
    </xf>
    <xf numFmtId="0" fontId="10" fillId="5" borderId="103" xfId="0" applyFont="1" applyFill="1" applyBorder="1" applyAlignment="1" applyProtection="1">
      <alignment horizontal="center"/>
      <protection hidden="1"/>
    </xf>
    <xf numFmtId="0" fontId="51" fillId="2" borderId="98" xfId="0" applyFont="1" applyFill="1" applyBorder="1" applyAlignment="1">
      <alignment horizontal="left" vertical="center" wrapText="1" indent="1"/>
    </xf>
    <xf numFmtId="0" fontId="51" fillId="2" borderId="99" xfId="0" applyFont="1" applyFill="1" applyBorder="1" applyAlignment="1">
      <alignment horizontal="left" vertical="center" wrapText="1" indent="1"/>
    </xf>
    <xf numFmtId="0" fontId="51" fillId="2" borderId="100" xfId="0" applyFont="1" applyFill="1" applyBorder="1" applyAlignment="1">
      <alignment horizontal="left" vertical="center" wrapText="1" indent="1"/>
    </xf>
    <xf numFmtId="0" fontId="51" fillId="2" borderId="101" xfId="0" applyFont="1" applyFill="1" applyBorder="1" applyAlignment="1">
      <alignment horizontal="left" vertical="center" wrapText="1" indent="1"/>
    </xf>
    <xf numFmtId="0" fontId="51" fillId="2" borderId="0" xfId="0" applyFont="1" applyFill="1" applyAlignment="1">
      <alignment horizontal="left" vertical="center" wrapText="1" indent="1"/>
    </xf>
    <xf numFmtId="0" fontId="51" fillId="2" borderId="86" xfId="0" applyFont="1" applyFill="1" applyBorder="1" applyAlignment="1">
      <alignment horizontal="left" vertical="center" wrapText="1" indent="1"/>
    </xf>
    <xf numFmtId="0" fontId="51" fillId="2" borderId="102" xfId="0" applyFont="1" applyFill="1" applyBorder="1" applyAlignment="1">
      <alignment horizontal="left" vertical="center" wrapText="1" indent="1"/>
    </xf>
    <xf numFmtId="0" fontId="51" fillId="2" borderId="103" xfId="0" applyFont="1" applyFill="1" applyBorder="1" applyAlignment="1">
      <alignment horizontal="left" vertical="center" wrapText="1" indent="1"/>
    </xf>
    <xf numFmtId="0" fontId="51" fillId="2" borderId="104" xfId="0" applyFont="1" applyFill="1" applyBorder="1" applyAlignment="1">
      <alignment horizontal="left" vertical="center" wrapText="1" indent="1"/>
    </xf>
    <xf numFmtId="0" fontId="26" fillId="2" borderId="0" xfId="0" applyFont="1" applyFill="1"/>
    <xf numFmtId="0" fontId="26" fillId="2" borderId="86" xfId="0" applyFont="1" applyFill="1" applyBorder="1"/>
    <xf numFmtId="0" fontId="26" fillId="2" borderId="0" xfId="0" applyFont="1" applyFill="1" applyProtection="1">
      <protection locked="0"/>
    </xf>
    <xf numFmtId="0" fontId="26" fillId="2" borderId="86" xfId="0" applyFont="1" applyFill="1" applyBorder="1" applyProtection="1">
      <protection locked="0"/>
    </xf>
    <xf numFmtId="0" fontId="26" fillId="2" borderId="87" xfId="0" applyFont="1" applyFill="1" applyBorder="1" applyAlignment="1" applyProtection="1">
      <alignment horizontal="right" vertical="center"/>
      <protection locked="0"/>
    </xf>
    <xf numFmtId="0" fontId="26" fillId="2" borderId="46" xfId="0" applyFont="1" applyFill="1" applyBorder="1" applyAlignment="1" applyProtection="1">
      <alignment horizontal="right" vertical="center"/>
      <protection locked="0"/>
    </xf>
    <xf numFmtId="22" fontId="52" fillId="2" borderId="87" xfId="0" applyNumberFormat="1" applyFont="1" applyFill="1" applyBorder="1" applyAlignment="1" applyProtection="1">
      <alignment horizontal="center" vertical="center"/>
      <protection locked="0"/>
    </xf>
    <xf numFmtId="0" fontId="52" fillId="2" borderId="87" xfId="0" applyFont="1" applyFill="1" applyBorder="1" applyAlignment="1" applyProtection="1">
      <alignment horizontal="center" vertical="center"/>
      <protection locked="0"/>
    </xf>
    <xf numFmtId="0" fontId="52" fillId="2" borderId="46" xfId="0" applyFont="1" applyFill="1" applyBorder="1" applyAlignment="1" applyProtection="1">
      <alignment horizontal="center" vertical="center"/>
      <protection locked="0"/>
    </xf>
    <xf numFmtId="0" fontId="27" fillId="8" borderId="37" xfId="0" applyFont="1" applyFill="1" applyBorder="1" applyAlignment="1" applyProtection="1">
      <alignment horizontal="center" vertical="center"/>
      <protection hidden="1"/>
    </xf>
    <xf numFmtId="0" fontId="27" fillId="8" borderId="38" xfId="0" applyFont="1" applyFill="1" applyBorder="1" applyAlignment="1" applyProtection="1">
      <alignment horizontal="center" vertical="center"/>
      <protection hidden="1"/>
    </xf>
    <xf numFmtId="0" fontId="27" fillId="8" borderId="47" xfId="0" applyFont="1" applyFill="1" applyBorder="1" applyAlignment="1" applyProtection="1">
      <alignment horizontal="center" vertical="center"/>
      <protection hidden="1"/>
    </xf>
    <xf numFmtId="0" fontId="38" fillId="2" borderId="0" xfId="0" applyFont="1" applyFill="1" applyAlignment="1">
      <alignment horizontal="center"/>
    </xf>
    <xf numFmtId="0" fontId="30" fillId="2" borderId="82" xfId="0" applyFont="1" applyFill="1" applyBorder="1" applyAlignment="1" applyProtection="1">
      <alignment horizontal="center" vertical="center"/>
      <protection hidden="1"/>
    </xf>
    <xf numFmtId="0" fontId="30" fillId="2" borderId="83" xfId="0" applyFont="1" applyFill="1" applyBorder="1" applyAlignment="1" applyProtection="1">
      <alignment horizontal="center" vertical="center"/>
      <protection hidden="1"/>
    </xf>
    <xf numFmtId="0" fontId="30" fillId="2" borderId="84" xfId="0" applyFont="1" applyFill="1" applyBorder="1" applyAlignment="1" applyProtection="1">
      <alignment horizontal="center" vertical="center"/>
      <protection hidden="1"/>
    </xf>
    <xf numFmtId="0" fontId="23" fillId="14" borderId="37" xfId="0" applyFont="1" applyFill="1" applyBorder="1" applyAlignment="1">
      <alignment horizontal="center"/>
    </xf>
    <xf numFmtId="0" fontId="23" fillId="14" borderId="38" xfId="0" applyFont="1" applyFill="1" applyBorder="1" applyAlignment="1">
      <alignment horizontal="center"/>
    </xf>
    <xf numFmtId="0" fontId="23" fillId="14" borderId="47" xfId="0" applyFont="1" applyFill="1" applyBorder="1" applyAlignment="1">
      <alignment horizontal="center"/>
    </xf>
    <xf numFmtId="0" fontId="38" fillId="7" borderId="0" xfId="0" applyFont="1" applyFill="1" applyAlignment="1" applyProtection="1">
      <alignment horizontal="left" vertical="center" wrapText="1" indent="1"/>
      <protection hidden="1"/>
    </xf>
    <xf numFmtId="0" fontId="26" fillId="7" borderId="0" xfId="0" applyFont="1" applyFill="1" applyAlignment="1" applyProtection="1">
      <alignment horizontal="left" vertical="center" indent="1"/>
      <protection hidden="1"/>
    </xf>
    <xf numFmtId="171" fontId="29" fillId="7" borderId="109" xfId="0" applyNumberFormat="1" applyFont="1" applyFill="1" applyBorder="1" applyAlignment="1" applyProtection="1">
      <alignment horizontal="center" vertical="center"/>
      <protection hidden="1"/>
    </xf>
    <xf numFmtId="0" fontId="53" fillId="7" borderId="109" xfId="0" applyFont="1" applyFill="1" applyBorder="1" applyAlignment="1" applyProtection="1">
      <alignment horizontal="center" vertical="center" wrapText="1"/>
      <protection hidden="1"/>
    </xf>
    <xf numFmtId="0" fontId="30" fillId="2" borderId="82" xfId="0" applyFont="1" applyFill="1" applyBorder="1" applyAlignment="1" applyProtection="1">
      <alignment horizontal="left" vertical="center"/>
      <protection hidden="1"/>
    </xf>
    <xf numFmtId="0" fontId="30" fillId="2" borderId="83" xfId="0" applyFont="1" applyFill="1" applyBorder="1" applyAlignment="1" applyProtection="1">
      <alignment horizontal="left" vertical="center"/>
      <protection hidden="1"/>
    </xf>
    <xf numFmtId="0" fontId="30" fillId="2" borderId="84" xfId="0" applyFont="1" applyFill="1" applyBorder="1" applyAlignment="1" applyProtection="1">
      <alignment horizontal="left" vertical="center"/>
      <protection hidden="1"/>
    </xf>
    <xf numFmtId="44" fontId="39" fillId="5" borderId="32" xfId="0" applyNumberFormat="1" applyFont="1" applyFill="1" applyBorder="1" applyAlignment="1" applyProtection="1">
      <alignment vertical="center"/>
      <protection hidden="1"/>
    </xf>
    <xf numFmtId="44" fontId="39" fillId="5" borderId="34" xfId="0" applyNumberFormat="1" applyFont="1" applyFill="1" applyBorder="1" applyAlignment="1" applyProtection="1">
      <alignment vertical="center"/>
      <protection hidden="1"/>
    </xf>
    <xf numFmtId="0" fontId="38" fillId="7" borderId="109" xfId="0" applyFont="1" applyFill="1" applyBorder="1" applyAlignment="1" applyProtection="1">
      <alignment horizontal="center" vertical="center"/>
      <protection hidden="1"/>
    </xf>
    <xf numFmtId="0" fontId="38" fillId="7" borderId="0" xfId="0" applyFont="1" applyFill="1" applyAlignment="1" applyProtection="1">
      <alignment horizontal="left" vertical="center" wrapText="1"/>
      <protection hidden="1"/>
    </xf>
    <xf numFmtId="0" fontId="38" fillId="7" borderId="110" xfId="0" applyFont="1" applyFill="1" applyBorder="1" applyAlignment="1" applyProtection="1">
      <alignment horizontal="left" vertical="center" wrapText="1"/>
      <protection hidden="1"/>
    </xf>
    <xf numFmtId="44" fontId="39" fillId="5" borderId="49" xfId="0" applyNumberFormat="1" applyFont="1" applyFill="1" applyBorder="1" applyAlignment="1" applyProtection="1">
      <alignment vertical="center"/>
      <protection hidden="1"/>
    </xf>
    <xf numFmtId="44" fontId="39" fillId="5" borderId="50" xfId="0" applyNumberFormat="1" applyFont="1" applyFill="1" applyBorder="1" applyAlignment="1" applyProtection="1">
      <alignment vertical="center"/>
      <protection hidden="1"/>
    </xf>
    <xf numFmtId="44" fontId="39" fillId="2" borderId="67" xfId="0" applyNumberFormat="1" applyFont="1" applyFill="1" applyBorder="1" applyAlignment="1" applyProtection="1">
      <alignment horizontal="left" vertical="center" wrapText="1"/>
      <protection hidden="1"/>
    </xf>
    <xf numFmtId="44" fontId="39" fillId="2" borderId="65" xfId="0" applyNumberFormat="1" applyFont="1" applyFill="1" applyBorder="1" applyAlignment="1" applyProtection="1">
      <alignment horizontal="left" vertical="center" wrapText="1"/>
      <protection hidden="1"/>
    </xf>
    <xf numFmtId="22" fontId="44" fillId="2" borderId="54" xfId="0" applyNumberFormat="1" applyFont="1" applyFill="1" applyBorder="1" applyAlignment="1">
      <alignment horizontal="left" vertical="center"/>
    </xf>
    <xf numFmtId="0" fontId="44" fillId="2" borderId="54" xfId="0" applyFont="1" applyFill="1" applyBorder="1" applyAlignment="1">
      <alignment horizontal="left" vertical="center"/>
    </xf>
    <xf numFmtId="44" fontId="22" fillId="5" borderId="32" xfId="1" applyFont="1" applyFill="1" applyBorder="1" applyAlignment="1" applyProtection="1">
      <alignment vertical="center"/>
      <protection hidden="1"/>
    </xf>
    <xf numFmtId="44" fontId="22" fillId="5" borderId="34" xfId="1" applyFont="1" applyFill="1" applyBorder="1" applyAlignment="1" applyProtection="1">
      <alignment vertical="center"/>
      <protection hidden="1"/>
    </xf>
    <xf numFmtId="0" fontId="47" fillId="8" borderId="0" xfId="0" applyFont="1" applyFill="1" applyAlignment="1" applyProtection="1">
      <alignment horizontal="center" vertical="center"/>
      <protection hidden="1"/>
    </xf>
    <xf numFmtId="0" fontId="30" fillId="2" borderId="32" xfId="0" applyFont="1" applyFill="1" applyBorder="1" applyAlignment="1" applyProtection="1">
      <alignment vertical="center"/>
      <protection hidden="1"/>
    </xf>
    <xf numFmtId="0" fontId="30" fillId="2" borderId="33" xfId="0" applyFont="1" applyFill="1" applyBorder="1" applyAlignment="1" applyProtection="1">
      <alignment vertical="center"/>
      <protection hidden="1"/>
    </xf>
    <xf numFmtId="0" fontId="30" fillId="2" borderId="34" xfId="0" applyFont="1" applyFill="1" applyBorder="1" applyAlignment="1" applyProtection="1">
      <alignment vertical="center"/>
      <protection hidden="1"/>
    </xf>
    <xf numFmtId="0" fontId="26" fillId="2" borderId="0" xfId="0" applyFont="1" applyFill="1" applyAlignment="1" applyProtection="1">
      <alignment horizontal="center" vertical="center"/>
      <protection hidden="1"/>
    </xf>
    <xf numFmtId="0" fontId="38" fillId="2" borderId="27" xfId="0" applyFont="1" applyFill="1" applyBorder="1" applyAlignment="1" applyProtection="1">
      <alignment horizontal="center" vertical="center"/>
      <protection hidden="1"/>
    </xf>
    <xf numFmtId="0" fontId="38" fillId="2" borderId="0" xfId="0" applyFont="1" applyFill="1" applyAlignment="1" applyProtection="1">
      <alignment horizontal="center" vertical="center"/>
      <protection hidden="1"/>
    </xf>
    <xf numFmtId="44" fontId="47" fillId="9" borderId="0" xfId="0" applyNumberFormat="1" applyFont="1" applyFill="1" applyAlignment="1" applyProtection="1">
      <alignment horizontal="left" vertical="center"/>
      <protection hidden="1"/>
    </xf>
    <xf numFmtId="44" fontId="39" fillId="5" borderId="59" xfId="0" applyNumberFormat="1" applyFont="1" applyFill="1" applyBorder="1" applyAlignment="1" applyProtection="1">
      <alignment horizontal="left" vertical="center" wrapText="1"/>
      <protection hidden="1"/>
    </xf>
    <xf numFmtId="0" fontId="45" fillId="2" borderId="24" xfId="0" applyFont="1" applyFill="1" applyBorder="1" applyAlignment="1" applyProtection="1">
      <alignment horizontal="left" vertical="center" wrapText="1" indent="1"/>
      <protection hidden="1"/>
    </xf>
    <xf numFmtId="0" fontId="45" fillId="2" borderId="25" xfId="0" applyFont="1" applyFill="1" applyBorder="1" applyAlignment="1" applyProtection="1">
      <alignment horizontal="left" vertical="center" indent="1"/>
      <protection hidden="1"/>
    </xf>
    <xf numFmtId="0" fontId="45" fillId="2" borderId="26" xfId="0" applyFont="1" applyFill="1" applyBorder="1" applyAlignment="1" applyProtection="1">
      <alignment horizontal="left" vertical="center" indent="1"/>
      <protection hidden="1"/>
    </xf>
    <xf numFmtId="0" fontId="45" fillId="2" borderId="27" xfId="0" applyFont="1" applyFill="1" applyBorder="1" applyAlignment="1" applyProtection="1">
      <alignment horizontal="left" vertical="center" indent="1"/>
      <protection hidden="1"/>
    </xf>
    <xf numFmtId="0" fontId="45" fillId="2" borderId="0" xfId="0" applyFont="1" applyFill="1" applyAlignment="1" applyProtection="1">
      <alignment horizontal="left" vertical="center" indent="1"/>
      <protection hidden="1"/>
    </xf>
    <xf numFmtId="0" fontId="45" fillId="2" borderId="28" xfId="0" applyFont="1" applyFill="1" applyBorder="1" applyAlignment="1" applyProtection="1">
      <alignment horizontal="left" vertical="center" indent="1"/>
      <protection hidden="1"/>
    </xf>
    <xf numFmtId="0" fontId="45" fillId="2" borderId="29" xfId="0" applyFont="1" applyFill="1" applyBorder="1" applyAlignment="1" applyProtection="1">
      <alignment horizontal="left" vertical="center" indent="1"/>
      <protection hidden="1"/>
    </xf>
    <xf numFmtId="0" fontId="45" fillId="2" borderId="30" xfId="0" applyFont="1" applyFill="1" applyBorder="1" applyAlignment="1" applyProtection="1">
      <alignment horizontal="left" vertical="center" indent="1"/>
      <protection hidden="1"/>
    </xf>
    <xf numFmtId="0" fontId="45" fillId="2" borderId="31" xfId="0" applyFont="1" applyFill="1" applyBorder="1" applyAlignment="1" applyProtection="1">
      <alignment horizontal="left" vertical="center" indent="1"/>
      <protection hidden="1"/>
    </xf>
    <xf numFmtId="0" fontId="29" fillId="15" borderId="6" xfId="0" applyFont="1" applyFill="1" applyBorder="1" applyAlignment="1">
      <alignment horizontal="center" vertical="center"/>
    </xf>
    <xf numFmtId="0" fontId="29" fillId="15" borderId="45" xfId="0" applyFont="1" applyFill="1" applyBorder="1" applyAlignment="1">
      <alignment horizontal="center" vertical="center"/>
    </xf>
    <xf numFmtId="0" fontId="29" fillId="15" borderId="7" xfId="0" applyFont="1" applyFill="1" applyBorder="1" applyAlignment="1">
      <alignment horizontal="center" vertical="center"/>
    </xf>
    <xf numFmtId="0" fontId="38" fillId="8" borderId="61" xfId="0" applyFont="1" applyFill="1" applyBorder="1" applyAlignment="1">
      <alignment horizontal="left" vertical="center" indent="1"/>
    </xf>
    <xf numFmtId="0" fontId="38" fillId="8" borderId="68" xfId="0" applyFont="1" applyFill="1" applyBorder="1" applyAlignment="1">
      <alignment horizontal="left" vertical="center" indent="1"/>
    </xf>
    <xf numFmtId="0" fontId="38" fillId="8" borderId="62" xfId="0" applyFont="1" applyFill="1" applyBorder="1" applyAlignment="1">
      <alignment horizontal="left" vertical="center" indent="1"/>
    </xf>
    <xf numFmtId="44" fontId="39" fillId="5" borderId="29" xfId="0" applyNumberFormat="1" applyFont="1" applyFill="1" applyBorder="1" applyAlignment="1" applyProtection="1">
      <alignment vertical="center" wrapText="1"/>
      <protection hidden="1"/>
    </xf>
    <xf numFmtId="44" fontId="39" fillId="5" borderId="31" xfId="0" applyNumberFormat="1" applyFont="1" applyFill="1" applyBorder="1" applyAlignment="1" applyProtection="1">
      <alignment vertical="center" wrapText="1"/>
      <protection hidden="1"/>
    </xf>
    <xf numFmtId="44" fontId="39" fillId="5" borderId="42" xfId="0" applyNumberFormat="1" applyFont="1" applyFill="1" applyBorder="1" applyAlignment="1" applyProtection="1">
      <alignment horizontal="left" vertical="center" wrapText="1"/>
      <protection hidden="1"/>
    </xf>
    <xf numFmtId="44" fontId="39" fillId="5" borderId="34" xfId="0" applyNumberFormat="1" applyFont="1" applyFill="1" applyBorder="1" applyAlignment="1" applyProtection="1">
      <alignment horizontal="left" vertical="center"/>
      <protection hidden="1"/>
    </xf>
    <xf numFmtId="44" fontId="39" fillId="5" borderId="23" xfId="0" applyNumberFormat="1" applyFont="1" applyFill="1" applyBorder="1" applyAlignment="1" applyProtection="1">
      <alignment vertical="center"/>
      <protection hidden="1"/>
    </xf>
    <xf numFmtId="44" fontId="39" fillId="5" borderId="48" xfId="0" applyNumberFormat="1" applyFont="1" applyFill="1" applyBorder="1" applyAlignment="1" applyProtection="1">
      <alignment vertical="center"/>
      <protection hidden="1"/>
    </xf>
    <xf numFmtId="0" fontId="26" fillId="2" borderId="0" xfId="0" applyFont="1" applyFill="1" applyAlignment="1" applyProtection="1">
      <alignment vertical="center"/>
      <protection hidden="1"/>
    </xf>
    <xf numFmtId="0" fontId="38" fillId="14" borderId="109" xfId="0" applyFont="1" applyFill="1" applyBorder="1" applyAlignment="1">
      <alignment horizontal="center" vertical="center"/>
    </xf>
    <xf numFmtId="0" fontId="53" fillId="14" borderId="109" xfId="0" applyFont="1" applyFill="1" applyBorder="1" applyAlignment="1">
      <alignment horizontal="center" vertical="center" wrapText="1"/>
    </xf>
    <xf numFmtId="0" fontId="38" fillId="14" borderId="0" xfId="0" applyFont="1" applyFill="1" applyAlignment="1">
      <alignment vertical="center" wrapText="1"/>
    </xf>
    <xf numFmtId="0" fontId="38" fillId="14" borderId="110" xfId="0" applyFont="1" applyFill="1" applyBorder="1" applyAlignment="1">
      <alignment vertical="center" wrapText="1"/>
    </xf>
    <xf numFmtId="44" fontId="27" fillId="9" borderId="60" xfId="0" applyNumberFormat="1" applyFont="1" applyFill="1" applyBorder="1" applyAlignment="1" applyProtection="1">
      <alignment vertical="center"/>
      <protection hidden="1"/>
    </xf>
    <xf numFmtId="0" fontId="30" fillId="2" borderId="32" xfId="0" applyFont="1" applyFill="1" applyBorder="1" applyAlignment="1">
      <alignment horizontal="left" vertical="center"/>
    </xf>
    <xf numFmtId="0" fontId="30" fillId="2" borderId="33" xfId="0" applyFont="1" applyFill="1" applyBorder="1" applyAlignment="1">
      <alignment horizontal="left" vertical="center"/>
    </xf>
    <xf numFmtId="0" fontId="30" fillId="2" borderId="34" xfId="0" applyFont="1" applyFill="1" applyBorder="1" applyAlignment="1">
      <alignment horizontal="left" vertical="center"/>
    </xf>
    <xf numFmtId="0" fontId="26" fillId="2" borderId="0" xfId="0" applyFont="1" applyFill="1" applyAlignment="1">
      <alignment horizontal="right" vertical="center"/>
    </xf>
    <xf numFmtId="0" fontId="26" fillId="2" borderId="28" xfId="0" applyFont="1" applyFill="1" applyBorder="1" applyAlignment="1">
      <alignment horizontal="right" vertical="center"/>
    </xf>
    <xf numFmtId="44" fontId="22" fillId="2" borderId="23" xfId="1" applyFont="1" applyFill="1" applyBorder="1" applyAlignment="1" applyProtection="1">
      <alignment vertical="center"/>
      <protection hidden="1"/>
    </xf>
    <xf numFmtId="0" fontId="27" fillId="8" borderId="56" xfId="0" applyFont="1" applyFill="1" applyBorder="1" applyAlignment="1" applyProtection="1">
      <alignment horizontal="center" vertical="center"/>
      <protection hidden="1"/>
    </xf>
    <xf numFmtId="0" fontId="27" fillId="8" borderId="57" xfId="0" applyFont="1" applyFill="1" applyBorder="1" applyAlignment="1" applyProtection="1">
      <alignment horizontal="center" vertical="center"/>
      <protection hidden="1"/>
    </xf>
    <xf numFmtId="0" fontId="27" fillId="8" borderId="58" xfId="0" applyFont="1" applyFill="1" applyBorder="1" applyAlignment="1" applyProtection="1">
      <alignment horizontal="center" vertical="center"/>
      <protection hidden="1"/>
    </xf>
    <xf numFmtId="0" fontId="38" fillId="2" borderId="27" xfId="0" applyFont="1" applyFill="1" applyBorder="1" applyAlignment="1">
      <alignment horizontal="center" vertical="center"/>
    </xf>
    <xf numFmtId="0" fontId="38" fillId="2" borderId="0" xfId="0" applyFont="1" applyFill="1" applyAlignment="1">
      <alignment horizontal="center" vertical="center"/>
    </xf>
    <xf numFmtId="0" fontId="27" fillId="8" borderId="0" xfId="0" applyFont="1" applyFill="1" applyAlignment="1" applyProtection="1">
      <alignment horizontal="center" vertical="center"/>
      <protection hidden="1"/>
    </xf>
    <xf numFmtId="44" fontId="27" fillId="7" borderId="51" xfId="0" applyNumberFormat="1" applyFont="1" applyFill="1" applyBorder="1" applyAlignment="1" applyProtection="1">
      <alignment vertical="center"/>
      <protection hidden="1"/>
    </xf>
    <xf numFmtId="44" fontId="27" fillId="9" borderId="24" xfId="0" applyNumberFormat="1" applyFont="1" applyFill="1" applyBorder="1" applyAlignment="1" applyProtection="1">
      <alignment vertical="center"/>
      <protection hidden="1"/>
    </xf>
    <xf numFmtId="44" fontId="27" fillId="9" borderId="26" xfId="0" applyNumberFormat="1" applyFont="1" applyFill="1" applyBorder="1" applyAlignment="1" applyProtection="1">
      <alignment vertical="center"/>
      <protection hidden="1"/>
    </xf>
    <xf numFmtId="44" fontId="39" fillId="2" borderId="61" xfId="0" applyNumberFormat="1" applyFont="1" applyFill="1" applyBorder="1" applyAlignment="1" applyProtection="1">
      <alignment horizontal="left" vertical="center" wrapText="1"/>
      <protection hidden="1"/>
    </xf>
    <xf numFmtId="44" fontId="39" fillId="2" borderId="64" xfId="0" applyNumberFormat="1" applyFont="1" applyFill="1" applyBorder="1" applyAlignment="1" applyProtection="1">
      <alignment horizontal="left" vertical="center" wrapText="1"/>
      <protection hidden="1"/>
    </xf>
    <xf numFmtId="44" fontId="27" fillId="7" borderId="63" xfId="0" applyNumberFormat="1" applyFont="1" applyFill="1" applyBorder="1" applyAlignment="1" applyProtection="1">
      <alignment vertical="center"/>
      <protection hidden="1"/>
    </xf>
    <xf numFmtId="44" fontId="27" fillId="7" borderId="52" xfId="0" applyNumberFormat="1" applyFont="1" applyFill="1" applyBorder="1" applyAlignment="1" applyProtection="1">
      <alignment vertical="center"/>
      <protection hidden="1"/>
    </xf>
    <xf numFmtId="44" fontId="27" fillId="13" borderId="51" xfId="0" applyNumberFormat="1" applyFont="1" applyFill="1" applyBorder="1" applyAlignment="1" applyProtection="1">
      <alignment vertical="center"/>
      <protection hidden="1"/>
    </xf>
    <xf numFmtId="44" fontId="27" fillId="13" borderId="51" xfId="0" applyNumberFormat="1" applyFont="1" applyFill="1" applyBorder="1" applyAlignment="1" applyProtection="1">
      <alignment vertical="center" wrapText="1"/>
      <protection hidden="1"/>
    </xf>
    <xf numFmtId="44" fontId="39" fillId="5" borderId="29" xfId="0" applyNumberFormat="1" applyFont="1" applyFill="1" applyBorder="1" applyAlignment="1" applyProtection="1">
      <alignment horizontal="left" vertical="center" wrapText="1"/>
      <protection hidden="1"/>
    </xf>
    <xf numFmtId="44" fontId="39" fillId="5" borderId="31" xfId="0" applyNumberFormat="1" applyFont="1" applyFill="1" applyBorder="1" applyAlignment="1" applyProtection="1">
      <alignment horizontal="left" vertical="center" wrapText="1"/>
      <protection hidden="1"/>
    </xf>
    <xf numFmtId="0" fontId="45" fillId="2" borderId="24" xfId="0" applyFont="1" applyFill="1" applyBorder="1" applyAlignment="1">
      <alignment horizontal="left" vertical="center" wrapText="1" indent="1"/>
    </xf>
    <xf numFmtId="0" fontId="26" fillId="2" borderId="25" xfId="0" applyFont="1" applyFill="1" applyBorder="1" applyAlignment="1">
      <alignment horizontal="left" vertical="center" indent="1"/>
    </xf>
    <xf numFmtId="0" fontId="26" fillId="2" borderId="26" xfId="0" applyFont="1" applyFill="1" applyBorder="1" applyAlignment="1">
      <alignment horizontal="left" vertical="center" indent="1"/>
    </xf>
    <xf numFmtId="0" fontId="26" fillId="2" borderId="27" xfId="0" applyFont="1" applyFill="1" applyBorder="1" applyAlignment="1">
      <alignment horizontal="left" vertical="center" indent="1"/>
    </xf>
    <xf numFmtId="0" fontId="26" fillId="2" borderId="0" xfId="0" applyFont="1" applyFill="1" applyAlignment="1">
      <alignment horizontal="left" vertical="center" indent="1"/>
    </xf>
    <xf numFmtId="0" fontId="26" fillId="2" borderId="28" xfId="0" applyFont="1" applyFill="1" applyBorder="1" applyAlignment="1">
      <alignment horizontal="left" vertical="center" indent="1"/>
    </xf>
    <xf numFmtId="0" fontId="26" fillId="2" borderId="29" xfId="0" applyFont="1" applyFill="1" applyBorder="1" applyAlignment="1">
      <alignment horizontal="left" vertical="center" indent="1"/>
    </xf>
    <xf numFmtId="0" fontId="26" fillId="2" borderId="30" xfId="0" applyFont="1" applyFill="1" applyBorder="1" applyAlignment="1">
      <alignment horizontal="left" vertical="center" indent="1"/>
    </xf>
    <xf numFmtId="0" fontId="26" fillId="2" borderId="31" xfId="0" applyFont="1" applyFill="1" applyBorder="1" applyAlignment="1">
      <alignment horizontal="left" vertical="center" indent="1"/>
    </xf>
    <xf numFmtId="44" fontId="27" fillId="9" borderId="24" xfId="0" applyNumberFormat="1" applyFont="1" applyFill="1" applyBorder="1" applyAlignment="1" applyProtection="1">
      <alignment horizontal="left" vertical="center"/>
      <protection hidden="1"/>
    </xf>
    <xf numFmtId="44" fontId="27" fillId="9" borderId="26" xfId="0" applyNumberFormat="1" applyFont="1" applyFill="1" applyBorder="1" applyAlignment="1" applyProtection="1">
      <alignment horizontal="left" vertical="center"/>
      <protection hidden="1"/>
    </xf>
    <xf numFmtId="0" fontId="29" fillId="15" borderId="0" xfId="0" applyFont="1" applyFill="1" applyAlignment="1">
      <alignment horizontal="center" vertical="center"/>
    </xf>
    <xf numFmtId="0" fontId="29" fillId="8" borderId="61" xfId="0" applyFont="1" applyFill="1" applyBorder="1" applyAlignment="1">
      <alignment horizontal="left" vertical="center" indent="1"/>
    </xf>
    <xf numFmtId="0" fontId="29" fillId="8" borderId="62" xfId="0" applyFont="1" applyFill="1" applyBorder="1" applyAlignment="1">
      <alignment horizontal="left" vertical="center" indent="1"/>
    </xf>
    <xf numFmtId="0" fontId="22" fillId="2" borderId="0" xfId="0" applyFont="1" applyFill="1" applyAlignment="1" applyProtection="1">
      <alignment vertical="center"/>
      <protection hidden="1"/>
    </xf>
    <xf numFmtId="22" fontId="44" fillId="2" borderId="0" xfId="0" applyNumberFormat="1" applyFont="1" applyFill="1" applyAlignment="1">
      <alignment horizontal="left" vertical="center"/>
    </xf>
    <xf numFmtId="0" fontId="44" fillId="2" borderId="0" xfId="0" applyFont="1" applyFill="1" applyAlignment="1">
      <alignment horizontal="left" vertical="center"/>
    </xf>
    <xf numFmtId="0" fontId="48" fillId="2" borderId="70" xfId="0" applyFont="1" applyFill="1" applyBorder="1" applyAlignment="1" applyProtection="1">
      <alignment horizontal="left" vertical="center" wrapText="1" indent="2"/>
      <protection hidden="1"/>
    </xf>
    <xf numFmtId="0" fontId="48" fillId="2" borderId="0" xfId="0" applyFont="1" applyFill="1" applyAlignment="1" applyProtection="1">
      <alignment horizontal="left" vertical="center" wrapText="1" indent="2"/>
      <protection hidden="1"/>
    </xf>
    <xf numFmtId="0" fontId="48" fillId="2" borderId="71" xfId="0" applyFont="1" applyFill="1" applyBorder="1" applyAlignment="1" applyProtection="1">
      <alignment horizontal="left" vertical="center" wrapText="1" indent="2"/>
      <protection hidden="1"/>
    </xf>
    <xf numFmtId="0" fontId="30" fillId="2" borderId="6" xfId="0" applyFont="1" applyFill="1" applyBorder="1" applyAlignment="1" applyProtection="1">
      <alignment horizontal="center" vertical="center"/>
      <protection hidden="1"/>
    </xf>
    <xf numFmtId="0" fontId="30" fillId="2" borderId="45" xfId="0" applyFont="1" applyFill="1" applyBorder="1" applyAlignment="1" applyProtection="1">
      <alignment horizontal="center" vertical="center"/>
      <protection hidden="1"/>
    </xf>
    <xf numFmtId="0" fontId="30" fillId="2" borderId="7" xfId="0" applyFont="1" applyFill="1" applyBorder="1" applyAlignment="1" applyProtection="1">
      <alignment horizontal="center" vertical="center"/>
      <protection hidden="1"/>
    </xf>
    <xf numFmtId="0" fontId="23" fillId="7" borderId="6" xfId="0" applyFont="1" applyFill="1" applyBorder="1" applyAlignment="1" applyProtection="1">
      <alignment horizontal="center" vertical="center"/>
      <protection hidden="1"/>
    </xf>
    <xf numFmtId="0" fontId="23" fillId="7" borderId="45" xfId="0" applyFont="1" applyFill="1" applyBorder="1" applyAlignment="1" applyProtection="1">
      <alignment horizontal="center" vertical="center"/>
      <protection hidden="1"/>
    </xf>
    <xf numFmtId="0" fontId="23" fillId="7" borderId="7" xfId="0" applyFont="1" applyFill="1" applyBorder="1" applyAlignment="1" applyProtection="1">
      <alignment horizontal="center" vertical="center"/>
      <protection hidden="1"/>
    </xf>
    <xf numFmtId="0" fontId="23" fillId="7" borderId="109" xfId="0" applyFont="1" applyFill="1" applyBorder="1" applyAlignment="1" applyProtection="1">
      <alignment horizontal="center" vertical="center" wrapText="1"/>
      <protection hidden="1"/>
    </xf>
    <xf numFmtId="0" fontId="27" fillId="7" borderId="109" xfId="0" applyFont="1" applyFill="1" applyBorder="1" applyAlignment="1" applyProtection="1">
      <alignment horizontal="center" vertical="center" wrapText="1"/>
      <protection hidden="1"/>
    </xf>
    <xf numFmtId="0" fontId="23" fillId="7" borderId="0" xfId="0" applyFont="1" applyFill="1" applyAlignment="1" applyProtection="1">
      <alignment horizontal="left" vertical="center" wrapText="1"/>
      <protection hidden="1"/>
    </xf>
    <xf numFmtId="0" fontId="23" fillId="7" borderId="110" xfId="0" applyFont="1" applyFill="1" applyBorder="1" applyAlignment="1" applyProtection="1">
      <alignment horizontal="left" vertical="center" wrapText="1"/>
      <protection hidden="1"/>
    </xf>
    <xf numFmtId="0" fontId="45" fillId="2" borderId="37" xfId="0" applyFont="1" applyFill="1" applyBorder="1" applyAlignment="1" applyProtection="1">
      <alignment horizontal="left" vertical="center" wrapText="1" indent="1"/>
      <protection locked="0"/>
    </xf>
    <xf numFmtId="0" fontId="45" fillId="2" borderId="38" xfId="0" applyFont="1" applyFill="1" applyBorder="1" applyAlignment="1" applyProtection="1">
      <alignment horizontal="left" vertical="center" wrapText="1" indent="1"/>
      <protection locked="0"/>
    </xf>
    <xf numFmtId="0" fontId="45" fillId="2" borderId="47" xfId="0" applyFont="1" applyFill="1" applyBorder="1" applyAlignment="1" applyProtection="1">
      <alignment horizontal="left" vertical="center" wrapText="1" indent="1"/>
      <protection locked="0"/>
    </xf>
    <xf numFmtId="0" fontId="45" fillId="2" borderId="1" xfId="0" applyFont="1" applyFill="1" applyBorder="1" applyAlignment="1" applyProtection="1">
      <alignment horizontal="left" vertical="center" wrapText="1" indent="1"/>
      <protection locked="0"/>
    </xf>
    <xf numFmtId="0" fontId="45" fillId="2" borderId="0" xfId="0" applyFont="1" applyFill="1" applyAlignment="1" applyProtection="1">
      <alignment horizontal="left" vertical="center" wrapText="1" indent="1"/>
      <protection locked="0"/>
    </xf>
    <xf numFmtId="0" fontId="45" fillId="2" borderId="2" xfId="0" applyFont="1" applyFill="1" applyBorder="1" applyAlignment="1" applyProtection="1">
      <alignment horizontal="left" vertical="center" wrapText="1" indent="1"/>
      <protection locked="0"/>
    </xf>
    <xf numFmtId="0" fontId="45" fillId="2" borderId="3" xfId="0" applyFont="1" applyFill="1" applyBorder="1" applyAlignment="1" applyProtection="1">
      <alignment horizontal="left" vertical="center" wrapText="1" indent="1"/>
      <protection locked="0"/>
    </xf>
    <xf numFmtId="0" fontId="45" fillId="2" borderId="4" xfId="0" applyFont="1" applyFill="1" applyBorder="1" applyAlignment="1" applyProtection="1">
      <alignment horizontal="left" vertical="center" wrapText="1" indent="1"/>
      <protection locked="0"/>
    </xf>
    <xf numFmtId="0" fontId="45" fillId="2" borderId="5" xfId="0" applyFont="1" applyFill="1" applyBorder="1" applyAlignment="1" applyProtection="1">
      <alignment horizontal="left" vertical="center" wrapText="1" indent="1"/>
      <protection locked="0"/>
    </xf>
    <xf numFmtId="0" fontId="48" fillId="2" borderId="115" xfId="0" applyFont="1" applyFill="1" applyBorder="1" applyAlignment="1" applyProtection="1">
      <alignment horizontal="left" vertical="center" wrapText="1" indent="2"/>
      <protection hidden="1"/>
    </xf>
    <xf numFmtId="0" fontId="48" fillId="2" borderId="2" xfId="0" applyFont="1" applyFill="1" applyBorder="1" applyAlignment="1" applyProtection="1">
      <alignment horizontal="left" vertical="center" wrapText="1" indent="2"/>
      <protection hidden="1"/>
    </xf>
    <xf numFmtId="0" fontId="48" fillId="2" borderId="5" xfId="0" applyFont="1" applyFill="1" applyBorder="1" applyAlignment="1" applyProtection="1">
      <alignment horizontal="left" vertical="center" wrapText="1" indent="2"/>
      <protection hidden="1"/>
    </xf>
    <xf numFmtId="43" fontId="27" fillId="14" borderId="27" xfId="357" applyFont="1" applyFill="1" applyBorder="1" applyAlignment="1">
      <alignment horizontal="center"/>
    </xf>
    <xf numFmtId="43" fontId="27" fillId="14" borderId="0" xfId="357" applyFont="1" applyFill="1" applyBorder="1" applyAlignment="1">
      <alignment horizontal="center"/>
    </xf>
    <xf numFmtId="43" fontId="27" fillId="9" borderId="27" xfId="357" applyFont="1" applyFill="1" applyBorder="1" applyAlignment="1">
      <alignment horizontal="center"/>
    </xf>
    <xf numFmtId="43" fontId="27" fillId="9" borderId="0" xfId="357" applyFont="1" applyFill="1" applyBorder="1" applyAlignment="1">
      <alignment horizontal="center"/>
    </xf>
    <xf numFmtId="43" fontId="41" fillId="8" borderId="0" xfId="357" applyFont="1" applyFill="1" applyBorder="1" applyAlignment="1">
      <alignment horizontal="center"/>
    </xf>
    <xf numFmtId="165" fontId="8" fillId="0" borderId="27" xfId="357" applyNumberFormat="1" applyFont="1" applyFill="1" applyBorder="1" applyAlignment="1">
      <alignment horizontal="center"/>
    </xf>
    <xf numFmtId="165" fontId="8" fillId="0" borderId="0" xfId="357" applyNumberFormat="1" applyFont="1" applyFill="1" applyBorder="1" applyAlignment="1">
      <alignment horizontal="center"/>
    </xf>
    <xf numFmtId="43" fontId="12" fillId="0" borderId="74" xfId="357" applyFont="1" applyFill="1" applyBorder="1" applyAlignment="1">
      <alignment horizontal="center"/>
    </xf>
    <xf numFmtId="43" fontId="41" fillId="8" borderId="1" xfId="357" applyFont="1" applyFill="1" applyBorder="1" applyAlignment="1">
      <alignment horizontal="center"/>
    </xf>
    <xf numFmtId="43" fontId="12" fillId="0" borderId="6" xfId="357" applyFont="1" applyFill="1" applyBorder="1" applyAlignment="1">
      <alignment horizontal="center"/>
    </xf>
    <xf numFmtId="43" fontId="12" fillId="0" borderId="45" xfId="357" applyFont="1" applyFill="1" applyBorder="1" applyAlignment="1">
      <alignment horizontal="center"/>
    </xf>
    <xf numFmtId="43" fontId="12" fillId="0" borderId="37" xfId="357" applyFont="1" applyFill="1" applyBorder="1" applyAlignment="1">
      <alignment horizontal="center"/>
    </xf>
    <xf numFmtId="43" fontId="12" fillId="0" borderId="38" xfId="357" applyFont="1" applyFill="1" applyBorder="1" applyAlignment="1">
      <alignment horizontal="center"/>
    </xf>
    <xf numFmtId="165" fontId="8" fillId="0" borderId="6" xfId="357" applyNumberFormat="1" applyFont="1" applyFill="1" applyBorder="1" applyAlignment="1">
      <alignment horizontal="center"/>
    </xf>
    <xf numFmtId="165" fontId="8" fillId="0" borderId="45" xfId="357" applyNumberFormat="1" applyFont="1" applyFill="1" applyBorder="1" applyAlignment="1">
      <alignment horizontal="center"/>
    </xf>
    <xf numFmtId="165" fontId="8" fillId="0" borderId="7" xfId="357" applyNumberFormat="1" applyFont="1" applyFill="1" applyBorder="1" applyAlignment="1">
      <alignment horizontal="center"/>
    </xf>
    <xf numFmtId="43" fontId="8" fillId="2" borderId="74" xfId="357" applyFont="1" applyFill="1" applyBorder="1" applyAlignment="1">
      <alignment horizontal="left"/>
    </xf>
    <xf numFmtId="43" fontId="8" fillId="3" borderId="6" xfId="357" applyFont="1" applyFill="1" applyBorder="1" applyAlignment="1"/>
    <xf numFmtId="43" fontId="8" fillId="3" borderId="45" xfId="357" applyFont="1" applyFill="1" applyBorder="1" applyAlignment="1"/>
    <xf numFmtId="43" fontId="21" fillId="11" borderId="6" xfId="357" applyFont="1" applyFill="1" applyBorder="1" applyAlignment="1"/>
    <xf numFmtId="43" fontId="21" fillId="11" borderId="45" xfId="357" applyFont="1" applyFill="1" applyBorder="1" applyAlignment="1"/>
    <xf numFmtId="43" fontId="8" fillId="0" borderId="39" xfId="357" applyFont="1" applyBorder="1" applyAlignment="1"/>
    <xf numFmtId="43" fontId="8" fillId="0" borderId="40" xfId="357" applyFont="1" applyBorder="1" applyAlignment="1"/>
    <xf numFmtId="43" fontId="27" fillId="2" borderId="27" xfId="357" applyFont="1" applyFill="1" applyBorder="1" applyAlignment="1">
      <alignment horizontal="center"/>
    </xf>
    <xf numFmtId="43" fontId="27" fillId="2" borderId="0" xfId="357" applyFont="1" applyFill="1" applyBorder="1" applyAlignment="1">
      <alignment horizontal="center"/>
    </xf>
    <xf numFmtId="43" fontId="12" fillId="0" borderId="6" xfId="0" applyNumberFormat="1" applyFont="1" applyBorder="1" applyAlignment="1">
      <alignment horizontal="center"/>
    </xf>
    <xf numFmtId="43" fontId="12" fillId="0" borderId="45" xfId="0" applyNumberFormat="1" applyFont="1" applyBorder="1" applyAlignment="1">
      <alignment horizontal="center"/>
    </xf>
    <xf numFmtId="43" fontId="50" fillId="16" borderId="37" xfId="0" applyNumberFormat="1" applyFont="1" applyFill="1" applyBorder="1" applyAlignment="1">
      <alignment horizontal="center"/>
    </xf>
    <xf numFmtId="43" fontId="50" fillId="16" borderId="38" xfId="0" applyNumberFormat="1" applyFont="1" applyFill="1" applyBorder="1" applyAlignment="1">
      <alignment horizontal="center"/>
    </xf>
    <xf numFmtId="43" fontId="50" fillId="16" borderId="47" xfId="0" applyNumberFormat="1" applyFont="1" applyFill="1" applyBorder="1" applyAlignment="1">
      <alignment horizontal="center"/>
    </xf>
    <xf numFmtId="43" fontId="50" fillId="17" borderId="3" xfId="0" applyNumberFormat="1" applyFont="1" applyFill="1" applyBorder="1" applyAlignment="1">
      <alignment horizontal="center"/>
    </xf>
    <xf numFmtId="43" fontId="50" fillId="17" borderId="4" xfId="0" applyNumberFormat="1" applyFont="1" applyFill="1" applyBorder="1" applyAlignment="1">
      <alignment horizontal="center"/>
    </xf>
    <xf numFmtId="43" fontId="50" fillId="17" borderId="5" xfId="0" applyNumberFormat="1" applyFont="1" applyFill="1" applyBorder="1" applyAlignment="1">
      <alignment horizontal="center"/>
    </xf>
    <xf numFmtId="165" fontId="8" fillId="0" borderId="6" xfId="0" applyNumberFormat="1" applyFont="1" applyBorder="1" applyAlignment="1">
      <alignment horizontal="center"/>
    </xf>
    <xf numFmtId="165" fontId="8" fillId="0" borderId="45" xfId="0" applyNumberFormat="1" applyFont="1" applyBorder="1" applyAlignment="1">
      <alignment horizontal="center"/>
    </xf>
    <xf numFmtId="165" fontId="8" fillId="0" borderId="7" xfId="0" applyNumberFormat="1" applyFont="1" applyBorder="1" applyAlignment="1">
      <alignment horizontal="center"/>
    </xf>
    <xf numFmtId="165" fontId="8" fillId="0" borderId="37" xfId="357" applyNumberFormat="1" applyFont="1" applyFill="1" applyBorder="1" applyAlignment="1">
      <alignment horizontal="center"/>
    </xf>
    <xf numFmtId="165" fontId="8" fillId="0" borderId="38" xfId="357" applyNumberFormat="1" applyFont="1" applyFill="1" applyBorder="1" applyAlignment="1">
      <alignment horizontal="center"/>
    </xf>
    <xf numFmtId="165" fontId="8" fillId="0" borderId="47" xfId="357" applyNumberFormat="1" applyFont="1" applyFill="1" applyBorder="1" applyAlignment="1">
      <alignment horizontal="center"/>
    </xf>
    <xf numFmtId="43" fontId="27" fillId="14" borderId="37" xfId="357" applyFont="1" applyFill="1" applyBorder="1" applyAlignment="1">
      <alignment horizontal="center"/>
    </xf>
    <xf numFmtId="43" fontId="27" fillId="14" borderId="38" xfId="357" applyFont="1" applyFill="1" applyBorder="1" applyAlignment="1">
      <alignment horizontal="center"/>
    </xf>
    <xf numFmtId="43" fontId="27" fillId="14" borderId="47" xfId="357" applyFont="1" applyFill="1" applyBorder="1" applyAlignment="1">
      <alignment horizontal="center"/>
    </xf>
    <xf numFmtId="43" fontId="27" fillId="9" borderId="3" xfId="357" applyFont="1" applyFill="1" applyBorder="1" applyAlignment="1">
      <alignment horizontal="center"/>
    </xf>
    <xf numFmtId="43" fontId="27" fillId="9" borderId="4" xfId="357" applyFont="1" applyFill="1" applyBorder="1" applyAlignment="1">
      <alignment horizontal="center"/>
    </xf>
    <xf numFmtId="43" fontId="27" fillId="9" borderId="5" xfId="357" applyFont="1" applyFill="1" applyBorder="1" applyAlignment="1">
      <alignment horizontal="center"/>
    </xf>
    <xf numFmtId="43" fontId="27" fillId="9" borderId="1" xfId="357" applyFont="1" applyFill="1" applyBorder="1" applyAlignment="1">
      <alignment horizontal="center"/>
    </xf>
    <xf numFmtId="43" fontId="27" fillId="9" borderId="2" xfId="357" applyFont="1" applyFill="1" applyBorder="1" applyAlignment="1">
      <alignment horizontal="center"/>
    </xf>
    <xf numFmtId="43" fontId="8" fillId="0" borderId="37" xfId="357" applyFont="1" applyFill="1" applyBorder="1" applyAlignment="1">
      <alignment horizontal="center"/>
    </xf>
    <xf numFmtId="43" fontId="8" fillId="0" borderId="38" xfId="357" applyFont="1" applyFill="1" applyBorder="1" applyAlignment="1">
      <alignment horizontal="center"/>
    </xf>
  </cellXfs>
  <cellStyles count="1160">
    <cellStyle name="Comma" xfId="357" builtinId="3"/>
    <cellStyle name="Comma 2" xfId="361" xr:uid="{00000000-0005-0000-0000-000000000000}"/>
    <cellStyle name="Comma 2 10" xfId="29" xr:uid="{00000000-0005-0000-0000-000001000000}"/>
    <cellStyle name="Comma 2 10 2" xfId="387" xr:uid="{00000000-0005-0000-0000-000002000000}"/>
    <cellStyle name="Comma 2 100" xfId="296" xr:uid="{00000000-0005-0000-0000-000003000000}"/>
    <cellStyle name="Comma 2 100 2" xfId="565" xr:uid="{00000000-0005-0000-0000-000004000000}"/>
    <cellStyle name="Comma 2 101" xfId="299" xr:uid="{00000000-0005-0000-0000-000005000000}"/>
    <cellStyle name="Comma 2 101 2" xfId="567" xr:uid="{00000000-0005-0000-0000-000006000000}"/>
    <cellStyle name="Comma 2 102" xfId="302" xr:uid="{00000000-0005-0000-0000-000007000000}"/>
    <cellStyle name="Comma 2 102 2" xfId="569" xr:uid="{00000000-0005-0000-0000-000008000000}"/>
    <cellStyle name="Comma 2 103" xfId="305" xr:uid="{00000000-0005-0000-0000-000009000000}"/>
    <cellStyle name="Comma 2 103 2" xfId="571" xr:uid="{00000000-0005-0000-0000-00000A000000}"/>
    <cellStyle name="Comma 2 104" xfId="308" xr:uid="{00000000-0005-0000-0000-00000B000000}"/>
    <cellStyle name="Comma 2 104 2" xfId="573" xr:uid="{00000000-0005-0000-0000-00000C000000}"/>
    <cellStyle name="Comma 2 105" xfId="311" xr:uid="{00000000-0005-0000-0000-00000D000000}"/>
    <cellStyle name="Comma 2 105 2" xfId="575" xr:uid="{00000000-0005-0000-0000-00000E000000}"/>
    <cellStyle name="Comma 2 106" xfId="314" xr:uid="{00000000-0005-0000-0000-00000F000000}"/>
    <cellStyle name="Comma 2 106 2" xfId="577" xr:uid="{00000000-0005-0000-0000-000010000000}"/>
    <cellStyle name="Comma 2 107" xfId="317" xr:uid="{00000000-0005-0000-0000-000011000000}"/>
    <cellStyle name="Comma 2 107 2" xfId="579" xr:uid="{00000000-0005-0000-0000-000012000000}"/>
    <cellStyle name="Comma 2 108" xfId="320" xr:uid="{00000000-0005-0000-0000-000013000000}"/>
    <cellStyle name="Comma 2 108 2" xfId="581" xr:uid="{00000000-0005-0000-0000-000014000000}"/>
    <cellStyle name="Comma 2 109" xfId="323" xr:uid="{00000000-0005-0000-0000-000015000000}"/>
    <cellStyle name="Comma 2 109 2" xfId="583" xr:uid="{00000000-0005-0000-0000-000016000000}"/>
    <cellStyle name="Comma 2 11" xfId="32" xr:uid="{00000000-0005-0000-0000-000017000000}"/>
    <cellStyle name="Comma 2 11 2" xfId="389" xr:uid="{00000000-0005-0000-0000-000018000000}"/>
    <cellStyle name="Comma 2 110" xfId="326" xr:uid="{00000000-0005-0000-0000-000019000000}"/>
    <cellStyle name="Comma 2 110 2" xfId="585" xr:uid="{00000000-0005-0000-0000-00001A000000}"/>
    <cellStyle name="Comma 2 111" xfId="329" xr:uid="{00000000-0005-0000-0000-00001B000000}"/>
    <cellStyle name="Comma 2 111 2" xfId="587" xr:uid="{00000000-0005-0000-0000-00001C000000}"/>
    <cellStyle name="Comma 2 112" xfId="332" xr:uid="{00000000-0005-0000-0000-00001D000000}"/>
    <cellStyle name="Comma 2 112 2" xfId="589" xr:uid="{00000000-0005-0000-0000-00001E000000}"/>
    <cellStyle name="Comma 2 113" xfId="335" xr:uid="{00000000-0005-0000-0000-00001F000000}"/>
    <cellStyle name="Comma 2 113 2" xfId="591" xr:uid="{00000000-0005-0000-0000-000020000000}"/>
    <cellStyle name="Comma 2 114" xfId="338" xr:uid="{00000000-0005-0000-0000-000021000000}"/>
    <cellStyle name="Comma 2 114 2" xfId="593" xr:uid="{00000000-0005-0000-0000-000022000000}"/>
    <cellStyle name="Comma 2 115" xfId="341" xr:uid="{00000000-0005-0000-0000-000023000000}"/>
    <cellStyle name="Comma 2 115 2" xfId="595" xr:uid="{00000000-0005-0000-0000-000024000000}"/>
    <cellStyle name="Comma 2 116" xfId="344" xr:uid="{00000000-0005-0000-0000-000025000000}"/>
    <cellStyle name="Comma 2 116 2" xfId="597" xr:uid="{00000000-0005-0000-0000-000026000000}"/>
    <cellStyle name="Comma 2 117" xfId="347" xr:uid="{00000000-0005-0000-0000-000027000000}"/>
    <cellStyle name="Comma 2 117 2" xfId="599" xr:uid="{00000000-0005-0000-0000-000028000000}"/>
    <cellStyle name="Comma 2 118" xfId="350" xr:uid="{00000000-0005-0000-0000-000029000000}"/>
    <cellStyle name="Comma 2 118 2" xfId="601" xr:uid="{00000000-0005-0000-0000-00002A000000}"/>
    <cellStyle name="Comma 2 119" xfId="353" xr:uid="{00000000-0005-0000-0000-00002B000000}"/>
    <cellStyle name="Comma 2 119 2" xfId="603" xr:uid="{00000000-0005-0000-0000-00002C000000}"/>
    <cellStyle name="Comma 2 12" xfId="35" xr:uid="{00000000-0005-0000-0000-00002D000000}"/>
    <cellStyle name="Comma 2 12 2" xfId="391" xr:uid="{00000000-0005-0000-0000-00002E000000}"/>
    <cellStyle name="Comma 2 120" xfId="356" xr:uid="{00000000-0005-0000-0000-00002F000000}"/>
    <cellStyle name="Comma 2 120 2" xfId="605" xr:uid="{00000000-0005-0000-0000-000030000000}"/>
    <cellStyle name="Comma 2 121" xfId="611" xr:uid="{00000000-0005-0000-0000-000031000000}"/>
    <cellStyle name="Comma 2 13" xfId="38" xr:uid="{00000000-0005-0000-0000-000032000000}"/>
    <cellStyle name="Comma 2 13 2" xfId="393" xr:uid="{00000000-0005-0000-0000-000033000000}"/>
    <cellStyle name="Comma 2 14" xfId="41" xr:uid="{00000000-0005-0000-0000-000034000000}"/>
    <cellStyle name="Comma 2 14 2" xfId="395" xr:uid="{00000000-0005-0000-0000-000035000000}"/>
    <cellStyle name="Comma 2 15" xfId="44" xr:uid="{00000000-0005-0000-0000-000036000000}"/>
    <cellStyle name="Comma 2 15 2" xfId="397" xr:uid="{00000000-0005-0000-0000-000037000000}"/>
    <cellStyle name="Comma 2 16" xfId="47" xr:uid="{00000000-0005-0000-0000-000038000000}"/>
    <cellStyle name="Comma 2 16 2" xfId="399" xr:uid="{00000000-0005-0000-0000-000039000000}"/>
    <cellStyle name="Comma 2 17" xfId="50" xr:uid="{00000000-0005-0000-0000-00003A000000}"/>
    <cellStyle name="Comma 2 17 2" xfId="401" xr:uid="{00000000-0005-0000-0000-00003B000000}"/>
    <cellStyle name="Comma 2 18" xfId="53" xr:uid="{00000000-0005-0000-0000-00003C000000}"/>
    <cellStyle name="Comma 2 18 2" xfId="403" xr:uid="{00000000-0005-0000-0000-00003D000000}"/>
    <cellStyle name="Comma 2 19" xfId="56" xr:uid="{00000000-0005-0000-0000-00003E000000}"/>
    <cellStyle name="Comma 2 19 2" xfId="405" xr:uid="{00000000-0005-0000-0000-00003F000000}"/>
    <cellStyle name="Comma 2 2" xfId="5" xr:uid="{00000000-0005-0000-0000-000040000000}"/>
    <cellStyle name="Comma 2 2 2" xfId="371" xr:uid="{00000000-0005-0000-0000-000041000000}"/>
    <cellStyle name="Comma 2 20" xfId="59" xr:uid="{00000000-0005-0000-0000-000042000000}"/>
    <cellStyle name="Comma 2 20 2" xfId="407" xr:uid="{00000000-0005-0000-0000-000043000000}"/>
    <cellStyle name="Comma 2 21" xfId="62" xr:uid="{00000000-0005-0000-0000-000044000000}"/>
    <cellStyle name="Comma 2 21 2" xfId="409" xr:uid="{00000000-0005-0000-0000-000045000000}"/>
    <cellStyle name="Comma 2 22" xfId="65" xr:uid="{00000000-0005-0000-0000-000046000000}"/>
    <cellStyle name="Comma 2 22 2" xfId="411" xr:uid="{00000000-0005-0000-0000-000047000000}"/>
    <cellStyle name="Comma 2 23" xfId="68" xr:uid="{00000000-0005-0000-0000-000048000000}"/>
    <cellStyle name="Comma 2 23 2" xfId="413" xr:uid="{00000000-0005-0000-0000-000049000000}"/>
    <cellStyle name="Comma 2 24" xfId="71" xr:uid="{00000000-0005-0000-0000-00004A000000}"/>
    <cellStyle name="Comma 2 24 2" xfId="415" xr:uid="{00000000-0005-0000-0000-00004B000000}"/>
    <cellStyle name="Comma 2 25" xfId="74" xr:uid="{00000000-0005-0000-0000-00004C000000}"/>
    <cellStyle name="Comma 2 25 2" xfId="417" xr:uid="{00000000-0005-0000-0000-00004D000000}"/>
    <cellStyle name="Comma 2 26" xfId="77" xr:uid="{00000000-0005-0000-0000-00004E000000}"/>
    <cellStyle name="Comma 2 26 2" xfId="419" xr:uid="{00000000-0005-0000-0000-00004F000000}"/>
    <cellStyle name="Comma 2 27" xfId="80" xr:uid="{00000000-0005-0000-0000-000050000000}"/>
    <cellStyle name="Comma 2 27 2" xfId="421" xr:uid="{00000000-0005-0000-0000-000051000000}"/>
    <cellStyle name="Comma 2 28" xfId="83" xr:uid="{00000000-0005-0000-0000-000052000000}"/>
    <cellStyle name="Comma 2 28 2" xfId="423" xr:uid="{00000000-0005-0000-0000-000053000000}"/>
    <cellStyle name="Comma 2 29" xfId="86" xr:uid="{00000000-0005-0000-0000-000054000000}"/>
    <cellStyle name="Comma 2 29 2" xfId="425" xr:uid="{00000000-0005-0000-0000-000055000000}"/>
    <cellStyle name="Comma 2 3" xfId="8" xr:uid="{00000000-0005-0000-0000-000056000000}"/>
    <cellStyle name="Comma 2 3 2" xfId="373" xr:uid="{00000000-0005-0000-0000-000057000000}"/>
    <cellStyle name="Comma 2 30" xfId="89" xr:uid="{00000000-0005-0000-0000-000058000000}"/>
    <cellStyle name="Comma 2 30 2" xfId="427" xr:uid="{00000000-0005-0000-0000-000059000000}"/>
    <cellStyle name="Comma 2 31" xfId="92" xr:uid="{00000000-0005-0000-0000-00005A000000}"/>
    <cellStyle name="Comma 2 31 2" xfId="429" xr:uid="{00000000-0005-0000-0000-00005B000000}"/>
    <cellStyle name="Comma 2 32" xfId="95" xr:uid="{00000000-0005-0000-0000-00005C000000}"/>
    <cellStyle name="Comma 2 32 2" xfId="431" xr:uid="{00000000-0005-0000-0000-00005D000000}"/>
    <cellStyle name="Comma 2 33" xfId="98" xr:uid="{00000000-0005-0000-0000-00005E000000}"/>
    <cellStyle name="Comma 2 33 2" xfId="433" xr:uid="{00000000-0005-0000-0000-00005F000000}"/>
    <cellStyle name="Comma 2 34" xfId="101" xr:uid="{00000000-0005-0000-0000-000060000000}"/>
    <cellStyle name="Comma 2 34 2" xfId="435" xr:uid="{00000000-0005-0000-0000-000061000000}"/>
    <cellStyle name="Comma 2 35" xfId="104" xr:uid="{00000000-0005-0000-0000-000062000000}"/>
    <cellStyle name="Comma 2 35 2" xfId="437" xr:uid="{00000000-0005-0000-0000-000063000000}"/>
    <cellStyle name="Comma 2 36" xfId="107" xr:uid="{00000000-0005-0000-0000-000064000000}"/>
    <cellStyle name="Comma 2 36 2" xfId="439" xr:uid="{00000000-0005-0000-0000-000065000000}"/>
    <cellStyle name="Comma 2 37" xfId="110" xr:uid="{00000000-0005-0000-0000-000066000000}"/>
    <cellStyle name="Comma 2 37 2" xfId="441" xr:uid="{00000000-0005-0000-0000-000067000000}"/>
    <cellStyle name="Comma 2 38" xfId="113" xr:uid="{00000000-0005-0000-0000-000068000000}"/>
    <cellStyle name="Comma 2 38 2" xfId="443" xr:uid="{00000000-0005-0000-0000-000069000000}"/>
    <cellStyle name="Comma 2 39" xfId="116" xr:uid="{00000000-0005-0000-0000-00006A000000}"/>
    <cellStyle name="Comma 2 39 2" xfId="445" xr:uid="{00000000-0005-0000-0000-00006B000000}"/>
    <cellStyle name="Comma 2 4" xfId="11" xr:uid="{00000000-0005-0000-0000-00006C000000}"/>
    <cellStyle name="Comma 2 4 2" xfId="375" xr:uid="{00000000-0005-0000-0000-00006D000000}"/>
    <cellStyle name="Comma 2 40" xfId="119" xr:uid="{00000000-0005-0000-0000-00006E000000}"/>
    <cellStyle name="Comma 2 40 2" xfId="447" xr:uid="{00000000-0005-0000-0000-00006F000000}"/>
    <cellStyle name="Comma 2 41" xfId="122" xr:uid="{00000000-0005-0000-0000-000070000000}"/>
    <cellStyle name="Comma 2 41 2" xfId="449" xr:uid="{00000000-0005-0000-0000-000071000000}"/>
    <cellStyle name="Comma 2 42" xfId="125" xr:uid="{00000000-0005-0000-0000-000072000000}"/>
    <cellStyle name="Comma 2 42 2" xfId="451" xr:uid="{00000000-0005-0000-0000-000073000000}"/>
    <cellStyle name="Comma 2 43" xfId="128" xr:uid="{00000000-0005-0000-0000-000074000000}"/>
    <cellStyle name="Comma 2 43 2" xfId="453" xr:uid="{00000000-0005-0000-0000-000075000000}"/>
    <cellStyle name="Comma 2 44" xfId="131" xr:uid="{00000000-0005-0000-0000-000076000000}"/>
    <cellStyle name="Comma 2 44 2" xfId="455" xr:uid="{00000000-0005-0000-0000-000077000000}"/>
    <cellStyle name="Comma 2 45" xfId="134" xr:uid="{00000000-0005-0000-0000-000078000000}"/>
    <cellStyle name="Comma 2 45 2" xfId="457" xr:uid="{00000000-0005-0000-0000-000079000000}"/>
    <cellStyle name="Comma 2 46" xfId="137" xr:uid="{00000000-0005-0000-0000-00007A000000}"/>
    <cellStyle name="Comma 2 46 2" xfId="459" xr:uid="{00000000-0005-0000-0000-00007B000000}"/>
    <cellStyle name="Comma 2 47" xfId="140" xr:uid="{00000000-0005-0000-0000-00007C000000}"/>
    <cellStyle name="Comma 2 47 2" xfId="461" xr:uid="{00000000-0005-0000-0000-00007D000000}"/>
    <cellStyle name="Comma 2 48" xfId="143" xr:uid="{00000000-0005-0000-0000-00007E000000}"/>
    <cellStyle name="Comma 2 48 2" xfId="463" xr:uid="{00000000-0005-0000-0000-00007F000000}"/>
    <cellStyle name="Comma 2 49" xfId="146" xr:uid="{00000000-0005-0000-0000-000080000000}"/>
    <cellStyle name="Comma 2 49 2" xfId="465" xr:uid="{00000000-0005-0000-0000-000081000000}"/>
    <cellStyle name="Comma 2 5" xfId="14" xr:uid="{00000000-0005-0000-0000-000082000000}"/>
    <cellStyle name="Comma 2 5 2" xfId="377" xr:uid="{00000000-0005-0000-0000-000083000000}"/>
    <cellStyle name="Comma 2 50" xfId="149" xr:uid="{00000000-0005-0000-0000-000084000000}"/>
    <cellStyle name="Comma 2 50 2" xfId="467" xr:uid="{00000000-0005-0000-0000-000085000000}"/>
    <cellStyle name="Comma 2 51" xfId="152" xr:uid="{00000000-0005-0000-0000-000086000000}"/>
    <cellStyle name="Comma 2 51 2" xfId="469" xr:uid="{00000000-0005-0000-0000-000087000000}"/>
    <cellStyle name="Comma 2 52" xfId="154" xr:uid="{00000000-0005-0000-0000-000088000000}"/>
    <cellStyle name="Comma 2 52 2" xfId="470" xr:uid="{00000000-0005-0000-0000-000089000000}"/>
    <cellStyle name="Comma 2 53" xfId="156" xr:uid="{00000000-0005-0000-0000-00008A000000}"/>
    <cellStyle name="Comma 2 53 2" xfId="471" xr:uid="{00000000-0005-0000-0000-00008B000000}"/>
    <cellStyle name="Comma 2 54" xfId="159" xr:uid="{00000000-0005-0000-0000-00008C000000}"/>
    <cellStyle name="Comma 2 54 2" xfId="473" xr:uid="{00000000-0005-0000-0000-00008D000000}"/>
    <cellStyle name="Comma 2 55" xfId="162" xr:uid="{00000000-0005-0000-0000-00008E000000}"/>
    <cellStyle name="Comma 2 55 2" xfId="475" xr:uid="{00000000-0005-0000-0000-00008F000000}"/>
    <cellStyle name="Comma 2 56" xfId="165" xr:uid="{00000000-0005-0000-0000-000090000000}"/>
    <cellStyle name="Comma 2 56 2" xfId="477" xr:uid="{00000000-0005-0000-0000-000091000000}"/>
    <cellStyle name="Comma 2 57" xfId="168" xr:uid="{00000000-0005-0000-0000-000092000000}"/>
    <cellStyle name="Comma 2 57 2" xfId="479" xr:uid="{00000000-0005-0000-0000-000093000000}"/>
    <cellStyle name="Comma 2 58" xfId="171" xr:uid="{00000000-0005-0000-0000-000094000000}"/>
    <cellStyle name="Comma 2 58 2" xfId="481" xr:uid="{00000000-0005-0000-0000-000095000000}"/>
    <cellStyle name="Comma 2 59" xfId="174" xr:uid="{00000000-0005-0000-0000-000096000000}"/>
    <cellStyle name="Comma 2 59 2" xfId="483" xr:uid="{00000000-0005-0000-0000-000097000000}"/>
    <cellStyle name="Comma 2 6" xfId="17" xr:uid="{00000000-0005-0000-0000-000098000000}"/>
    <cellStyle name="Comma 2 6 2" xfId="379" xr:uid="{00000000-0005-0000-0000-000099000000}"/>
    <cellStyle name="Comma 2 60" xfId="177" xr:uid="{00000000-0005-0000-0000-00009A000000}"/>
    <cellStyle name="Comma 2 60 2" xfId="485" xr:uid="{00000000-0005-0000-0000-00009B000000}"/>
    <cellStyle name="Comma 2 61" xfId="180" xr:uid="{00000000-0005-0000-0000-00009C000000}"/>
    <cellStyle name="Comma 2 61 2" xfId="487" xr:uid="{00000000-0005-0000-0000-00009D000000}"/>
    <cellStyle name="Comma 2 62" xfId="183" xr:uid="{00000000-0005-0000-0000-00009E000000}"/>
    <cellStyle name="Comma 2 62 2" xfId="489" xr:uid="{00000000-0005-0000-0000-00009F000000}"/>
    <cellStyle name="Comma 2 63" xfId="186" xr:uid="{00000000-0005-0000-0000-0000A0000000}"/>
    <cellStyle name="Comma 2 63 2" xfId="491" xr:uid="{00000000-0005-0000-0000-0000A1000000}"/>
    <cellStyle name="Comma 2 64" xfId="188" xr:uid="{00000000-0005-0000-0000-0000A2000000}"/>
    <cellStyle name="Comma 2 64 2" xfId="492" xr:uid="{00000000-0005-0000-0000-0000A3000000}"/>
    <cellStyle name="Comma 2 65" xfId="191" xr:uid="{00000000-0005-0000-0000-0000A4000000}"/>
    <cellStyle name="Comma 2 65 2" xfId="494" xr:uid="{00000000-0005-0000-0000-0000A5000000}"/>
    <cellStyle name="Comma 2 66" xfId="194" xr:uid="{00000000-0005-0000-0000-0000A6000000}"/>
    <cellStyle name="Comma 2 66 2" xfId="496" xr:uid="{00000000-0005-0000-0000-0000A7000000}"/>
    <cellStyle name="Comma 2 67" xfId="197" xr:uid="{00000000-0005-0000-0000-0000A8000000}"/>
    <cellStyle name="Comma 2 67 2" xfId="498" xr:uid="{00000000-0005-0000-0000-0000A9000000}"/>
    <cellStyle name="Comma 2 68" xfId="200" xr:uid="{00000000-0005-0000-0000-0000AA000000}"/>
    <cellStyle name="Comma 2 68 2" xfId="500" xr:uid="{00000000-0005-0000-0000-0000AB000000}"/>
    <cellStyle name="Comma 2 69" xfId="203" xr:uid="{00000000-0005-0000-0000-0000AC000000}"/>
    <cellStyle name="Comma 2 69 2" xfId="502" xr:uid="{00000000-0005-0000-0000-0000AD000000}"/>
    <cellStyle name="Comma 2 7" xfId="20" xr:uid="{00000000-0005-0000-0000-0000AE000000}"/>
    <cellStyle name="Comma 2 7 2" xfId="381" xr:uid="{00000000-0005-0000-0000-0000AF000000}"/>
    <cellStyle name="Comma 2 70" xfId="206" xr:uid="{00000000-0005-0000-0000-0000B0000000}"/>
    <cellStyle name="Comma 2 70 2" xfId="504" xr:uid="{00000000-0005-0000-0000-0000B1000000}"/>
    <cellStyle name="Comma 2 71" xfId="209" xr:uid="{00000000-0005-0000-0000-0000B2000000}"/>
    <cellStyle name="Comma 2 71 2" xfId="506" xr:uid="{00000000-0005-0000-0000-0000B3000000}"/>
    <cellStyle name="Comma 2 72" xfId="212" xr:uid="{00000000-0005-0000-0000-0000B4000000}"/>
    <cellStyle name="Comma 2 72 2" xfId="508" xr:uid="{00000000-0005-0000-0000-0000B5000000}"/>
    <cellStyle name="Comma 2 73" xfId="215" xr:uid="{00000000-0005-0000-0000-0000B6000000}"/>
    <cellStyle name="Comma 2 73 2" xfId="510" xr:uid="{00000000-0005-0000-0000-0000B7000000}"/>
    <cellStyle name="Comma 2 74" xfId="218" xr:uid="{00000000-0005-0000-0000-0000B8000000}"/>
    <cellStyle name="Comma 2 74 2" xfId="512" xr:uid="{00000000-0005-0000-0000-0000B9000000}"/>
    <cellStyle name="Comma 2 75" xfId="221" xr:uid="{00000000-0005-0000-0000-0000BA000000}"/>
    <cellStyle name="Comma 2 75 2" xfId="514" xr:uid="{00000000-0005-0000-0000-0000BB000000}"/>
    <cellStyle name="Comma 2 76" xfId="224" xr:uid="{00000000-0005-0000-0000-0000BC000000}"/>
    <cellStyle name="Comma 2 76 2" xfId="516" xr:uid="{00000000-0005-0000-0000-0000BD000000}"/>
    <cellStyle name="Comma 2 77" xfId="227" xr:uid="{00000000-0005-0000-0000-0000BE000000}"/>
    <cellStyle name="Comma 2 77 2" xfId="518" xr:uid="{00000000-0005-0000-0000-0000BF000000}"/>
    <cellStyle name="Comma 2 78" xfId="230" xr:uid="{00000000-0005-0000-0000-0000C0000000}"/>
    <cellStyle name="Comma 2 78 2" xfId="520" xr:uid="{00000000-0005-0000-0000-0000C1000000}"/>
    <cellStyle name="Comma 2 79" xfId="233" xr:uid="{00000000-0005-0000-0000-0000C2000000}"/>
    <cellStyle name="Comma 2 79 2" xfId="522" xr:uid="{00000000-0005-0000-0000-0000C3000000}"/>
    <cellStyle name="Comma 2 8" xfId="23" xr:uid="{00000000-0005-0000-0000-0000C4000000}"/>
    <cellStyle name="Comma 2 8 2" xfId="383" xr:uid="{00000000-0005-0000-0000-0000C5000000}"/>
    <cellStyle name="Comma 2 80" xfId="236" xr:uid="{00000000-0005-0000-0000-0000C6000000}"/>
    <cellStyle name="Comma 2 80 2" xfId="524" xr:uid="{00000000-0005-0000-0000-0000C7000000}"/>
    <cellStyle name="Comma 2 81" xfId="239" xr:uid="{00000000-0005-0000-0000-0000C8000000}"/>
    <cellStyle name="Comma 2 81 2" xfId="526" xr:uid="{00000000-0005-0000-0000-0000C9000000}"/>
    <cellStyle name="Comma 2 82" xfId="242" xr:uid="{00000000-0005-0000-0000-0000CA000000}"/>
    <cellStyle name="Comma 2 82 2" xfId="528" xr:uid="{00000000-0005-0000-0000-0000CB000000}"/>
    <cellStyle name="Comma 2 83" xfId="245" xr:uid="{00000000-0005-0000-0000-0000CC000000}"/>
    <cellStyle name="Comma 2 83 2" xfId="530" xr:uid="{00000000-0005-0000-0000-0000CD000000}"/>
    <cellStyle name="Comma 2 84" xfId="248" xr:uid="{00000000-0005-0000-0000-0000CE000000}"/>
    <cellStyle name="Comma 2 84 2" xfId="532" xr:uid="{00000000-0005-0000-0000-0000CF000000}"/>
    <cellStyle name="Comma 2 85" xfId="251" xr:uid="{00000000-0005-0000-0000-0000D0000000}"/>
    <cellStyle name="Comma 2 85 2" xfId="534" xr:uid="{00000000-0005-0000-0000-0000D1000000}"/>
    <cellStyle name="Comma 2 86" xfId="254" xr:uid="{00000000-0005-0000-0000-0000D2000000}"/>
    <cellStyle name="Comma 2 86 2" xfId="536" xr:uid="{00000000-0005-0000-0000-0000D3000000}"/>
    <cellStyle name="Comma 2 87" xfId="257" xr:uid="{00000000-0005-0000-0000-0000D4000000}"/>
    <cellStyle name="Comma 2 87 2" xfId="538" xr:uid="{00000000-0005-0000-0000-0000D5000000}"/>
    <cellStyle name="Comma 2 88" xfId="260" xr:uid="{00000000-0005-0000-0000-0000D6000000}"/>
    <cellStyle name="Comma 2 88 2" xfId="540" xr:uid="{00000000-0005-0000-0000-0000D7000000}"/>
    <cellStyle name="Comma 2 89" xfId="263" xr:uid="{00000000-0005-0000-0000-0000D8000000}"/>
    <cellStyle name="Comma 2 89 2" xfId="543" xr:uid="{00000000-0005-0000-0000-0000D9000000}"/>
    <cellStyle name="Comma 2 9" xfId="26" xr:uid="{00000000-0005-0000-0000-0000DA000000}"/>
    <cellStyle name="Comma 2 9 2" xfId="385" xr:uid="{00000000-0005-0000-0000-0000DB000000}"/>
    <cellStyle name="Comma 2 90" xfId="266" xr:uid="{00000000-0005-0000-0000-0000DC000000}"/>
    <cellStyle name="Comma 2 90 2" xfId="545" xr:uid="{00000000-0005-0000-0000-0000DD000000}"/>
    <cellStyle name="Comma 2 91" xfId="269" xr:uid="{00000000-0005-0000-0000-0000DE000000}"/>
    <cellStyle name="Comma 2 91 2" xfId="547" xr:uid="{00000000-0005-0000-0000-0000DF000000}"/>
    <cellStyle name="Comma 2 92" xfId="272" xr:uid="{00000000-0005-0000-0000-0000E0000000}"/>
    <cellStyle name="Comma 2 92 2" xfId="549" xr:uid="{00000000-0005-0000-0000-0000E1000000}"/>
    <cellStyle name="Comma 2 93" xfId="275" xr:uid="{00000000-0005-0000-0000-0000E2000000}"/>
    <cellStyle name="Comma 2 93 2" xfId="551" xr:uid="{00000000-0005-0000-0000-0000E3000000}"/>
    <cellStyle name="Comma 2 94" xfId="278" xr:uid="{00000000-0005-0000-0000-0000E4000000}"/>
    <cellStyle name="Comma 2 94 2" xfId="553" xr:uid="{00000000-0005-0000-0000-0000E5000000}"/>
    <cellStyle name="Comma 2 95" xfId="281" xr:uid="{00000000-0005-0000-0000-0000E6000000}"/>
    <cellStyle name="Comma 2 95 2" xfId="555" xr:uid="{00000000-0005-0000-0000-0000E7000000}"/>
    <cellStyle name="Comma 2 96" xfId="284" xr:uid="{00000000-0005-0000-0000-0000E8000000}"/>
    <cellStyle name="Comma 2 96 2" xfId="557" xr:uid="{00000000-0005-0000-0000-0000E9000000}"/>
    <cellStyle name="Comma 2 97" xfId="287" xr:uid="{00000000-0005-0000-0000-0000EA000000}"/>
    <cellStyle name="Comma 2 97 2" xfId="559" xr:uid="{00000000-0005-0000-0000-0000EB000000}"/>
    <cellStyle name="Comma 2 98" xfId="290" xr:uid="{00000000-0005-0000-0000-0000EC000000}"/>
    <cellStyle name="Comma 2 98 2" xfId="561" xr:uid="{00000000-0005-0000-0000-0000ED000000}"/>
    <cellStyle name="Comma 2 99" xfId="293" xr:uid="{00000000-0005-0000-0000-0000EE000000}"/>
    <cellStyle name="Comma 2 99 2" xfId="563" xr:uid="{00000000-0005-0000-0000-0000EF000000}"/>
    <cellStyle name="Comma 3" xfId="359" xr:uid="{00000000-0005-0000-0000-0000F0000000}"/>
    <cellStyle name="Comma 3 2" xfId="609" xr:uid="{00000000-0005-0000-0000-0000F1000000}"/>
    <cellStyle name="Comma 3 2 2" xfId="643" xr:uid="{00000000-0005-0000-0000-0000F2000000}"/>
    <cellStyle name="Comma 3 3" xfId="642" xr:uid="{00000000-0005-0000-0000-0000F3000000}"/>
    <cellStyle name="Comma 4" xfId="606" xr:uid="{00000000-0005-0000-0000-0000F4000000}"/>
    <cellStyle name="Comma 5" xfId="616" xr:uid="{00000000-0005-0000-0000-0000F5000000}"/>
    <cellStyle name="Comma 5 2" xfId="644" xr:uid="{00000000-0005-0000-0000-0000F6000000}"/>
    <cellStyle name="Comma 6" xfId="618" xr:uid="{00000000-0005-0000-0000-0000F7000000}"/>
    <cellStyle name="Comma 6 2" xfId="645" xr:uid="{00000000-0005-0000-0000-0000F8000000}"/>
    <cellStyle name="Comma 7" xfId="621" xr:uid="{00000000-0005-0000-0000-0000F9000000}"/>
    <cellStyle name="Comma 7 2" xfId="646" xr:uid="{00000000-0005-0000-0000-0000FA000000}"/>
    <cellStyle name="Comma 8" xfId="1158" xr:uid="{06599F15-A10A-5D4F-BFF7-4380DBA07368}"/>
    <cellStyle name="Currency" xfId="1" builtinId="4"/>
    <cellStyle name="Currency 10" xfId="25" xr:uid="{00000000-0005-0000-0000-0000FB000000}"/>
    <cellStyle name="Currency 10 2" xfId="384" xr:uid="{00000000-0005-0000-0000-0000FC000000}"/>
    <cellStyle name="Currency 10 2 2" xfId="648" xr:uid="{00000000-0005-0000-0000-0000FD000000}"/>
    <cellStyle name="Currency 10 3" xfId="647" xr:uid="{00000000-0005-0000-0000-0000FE000000}"/>
    <cellStyle name="Currency 100" xfId="292" xr:uid="{00000000-0005-0000-0000-0000FF000000}"/>
    <cellStyle name="Currency 100 2" xfId="562" xr:uid="{00000000-0005-0000-0000-000000010000}"/>
    <cellStyle name="Currency 100 2 2" xfId="650" xr:uid="{00000000-0005-0000-0000-000001010000}"/>
    <cellStyle name="Currency 100 3" xfId="649" xr:uid="{00000000-0005-0000-0000-000002010000}"/>
    <cellStyle name="Currency 101" xfId="295" xr:uid="{00000000-0005-0000-0000-000003010000}"/>
    <cellStyle name="Currency 101 2" xfId="564" xr:uid="{00000000-0005-0000-0000-000004010000}"/>
    <cellStyle name="Currency 101 2 2" xfId="652" xr:uid="{00000000-0005-0000-0000-000005010000}"/>
    <cellStyle name="Currency 101 3" xfId="651" xr:uid="{00000000-0005-0000-0000-000006010000}"/>
    <cellStyle name="Currency 102" xfId="298" xr:uid="{00000000-0005-0000-0000-000007010000}"/>
    <cellStyle name="Currency 102 2" xfId="566" xr:uid="{00000000-0005-0000-0000-000008010000}"/>
    <cellStyle name="Currency 102 2 2" xfId="654" xr:uid="{00000000-0005-0000-0000-000009010000}"/>
    <cellStyle name="Currency 102 3" xfId="653" xr:uid="{00000000-0005-0000-0000-00000A010000}"/>
    <cellStyle name="Currency 103" xfId="301" xr:uid="{00000000-0005-0000-0000-00000B010000}"/>
    <cellStyle name="Currency 103 2" xfId="568" xr:uid="{00000000-0005-0000-0000-00000C010000}"/>
    <cellStyle name="Currency 103 2 2" xfId="656" xr:uid="{00000000-0005-0000-0000-00000D010000}"/>
    <cellStyle name="Currency 103 3" xfId="655" xr:uid="{00000000-0005-0000-0000-00000E010000}"/>
    <cellStyle name="Currency 104" xfId="304" xr:uid="{00000000-0005-0000-0000-00000F010000}"/>
    <cellStyle name="Currency 104 2" xfId="570" xr:uid="{00000000-0005-0000-0000-000010010000}"/>
    <cellStyle name="Currency 104 2 2" xfId="658" xr:uid="{00000000-0005-0000-0000-000011010000}"/>
    <cellStyle name="Currency 104 3" xfId="657" xr:uid="{00000000-0005-0000-0000-000012010000}"/>
    <cellStyle name="Currency 105" xfId="307" xr:uid="{00000000-0005-0000-0000-000013010000}"/>
    <cellStyle name="Currency 105 2" xfId="572" xr:uid="{00000000-0005-0000-0000-000014010000}"/>
    <cellStyle name="Currency 105 2 2" xfId="660" xr:uid="{00000000-0005-0000-0000-000015010000}"/>
    <cellStyle name="Currency 105 3" xfId="659" xr:uid="{00000000-0005-0000-0000-000016010000}"/>
    <cellStyle name="Currency 106" xfId="310" xr:uid="{00000000-0005-0000-0000-000017010000}"/>
    <cellStyle name="Currency 106 2" xfId="574" xr:uid="{00000000-0005-0000-0000-000018010000}"/>
    <cellStyle name="Currency 106 2 2" xfId="662" xr:uid="{00000000-0005-0000-0000-000019010000}"/>
    <cellStyle name="Currency 106 3" xfId="661" xr:uid="{00000000-0005-0000-0000-00001A010000}"/>
    <cellStyle name="Currency 107" xfId="313" xr:uid="{00000000-0005-0000-0000-00001B010000}"/>
    <cellStyle name="Currency 107 2" xfId="576" xr:uid="{00000000-0005-0000-0000-00001C010000}"/>
    <cellStyle name="Currency 107 2 2" xfId="664" xr:uid="{00000000-0005-0000-0000-00001D010000}"/>
    <cellStyle name="Currency 107 3" xfId="663" xr:uid="{00000000-0005-0000-0000-00001E010000}"/>
    <cellStyle name="Currency 108" xfId="316" xr:uid="{00000000-0005-0000-0000-00001F010000}"/>
    <cellStyle name="Currency 108 2" xfId="578" xr:uid="{00000000-0005-0000-0000-000020010000}"/>
    <cellStyle name="Currency 108 2 2" xfId="666" xr:uid="{00000000-0005-0000-0000-000021010000}"/>
    <cellStyle name="Currency 108 3" xfId="665" xr:uid="{00000000-0005-0000-0000-000022010000}"/>
    <cellStyle name="Currency 109" xfId="319" xr:uid="{00000000-0005-0000-0000-000023010000}"/>
    <cellStyle name="Currency 109 2" xfId="580" xr:uid="{00000000-0005-0000-0000-000024010000}"/>
    <cellStyle name="Currency 109 2 2" xfId="668" xr:uid="{00000000-0005-0000-0000-000025010000}"/>
    <cellStyle name="Currency 109 3" xfId="667" xr:uid="{00000000-0005-0000-0000-000026010000}"/>
    <cellStyle name="Currency 11" xfId="28" xr:uid="{00000000-0005-0000-0000-000027010000}"/>
    <cellStyle name="Currency 11 2" xfId="386" xr:uid="{00000000-0005-0000-0000-000028010000}"/>
    <cellStyle name="Currency 11 2 2" xfId="670" xr:uid="{00000000-0005-0000-0000-000029010000}"/>
    <cellStyle name="Currency 11 3" xfId="669" xr:uid="{00000000-0005-0000-0000-00002A010000}"/>
    <cellStyle name="Currency 110" xfId="322" xr:uid="{00000000-0005-0000-0000-00002B010000}"/>
    <cellStyle name="Currency 110 2" xfId="582" xr:uid="{00000000-0005-0000-0000-00002C010000}"/>
    <cellStyle name="Currency 110 2 2" xfId="672" xr:uid="{00000000-0005-0000-0000-00002D010000}"/>
    <cellStyle name="Currency 110 3" xfId="671" xr:uid="{00000000-0005-0000-0000-00002E010000}"/>
    <cellStyle name="Currency 111" xfId="325" xr:uid="{00000000-0005-0000-0000-00002F010000}"/>
    <cellStyle name="Currency 111 2" xfId="584" xr:uid="{00000000-0005-0000-0000-000030010000}"/>
    <cellStyle name="Currency 111 2 2" xfId="674" xr:uid="{00000000-0005-0000-0000-000031010000}"/>
    <cellStyle name="Currency 111 3" xfId="673" xr:uid="{00000000-0005-0000-0000-000032010000}"/>
    <cellStyle name="Currency 112" xfId="328" xr:uid="{00000000-0005-0000-0000-000033010000}"/>
    <cellStyle name="Currency 112 2" xfId="586" xr:uid="{00000000-0005-0000-0000-000034010000}"/>
    <cellStyle name="Currency 112 2 2" xfId="676" xr:uid="{00000000-0005-0000-0000-000035010000}"/>
    <cellStyle name="Currency 112 3" xfId="675" xr:uid="{00000000-0005-0000-0000-000036010000}"/>
    <cellStyle name="Currency 113" xfId="331" xr:uid="{00000000-0005-0000-0000-000037010000}"/>
    <cellStyle name="Currency 113 2" xfId="588" xr:uid="{00000000-0005-0000-0000-000038010000}"/>
    <cellStyle name="Currency 113 2 2" xfId="678" xr:uid="{00000000-0005-0000-0000-000039010000}"/>
    <cellStyle name="Currency 113 3" xfId="677" xr:uid="{00000000-0005-0000-0000-00003A010000}"/>
    <cellStyle name="Currency 114" xfId="334" xr:uid="{00000000-0005-0000-0000-00003B010000}"/>
    <cellStyle name="Currency 114 2" xfId="590" xr:uid="{00000000-0005-0000-0000-00003C010000}"/>
    <cellStyle name="Currency 114 2 2" xfId="680" xr:uid="{00000000-0005-0000-0000-00003D010000}"/>
    <cellStyle name="Currency 114 3" xfId="679" xr:uid="{00000000-0005-0000-0000-00003E010000}"/>
    <cellStyle name="Currency 115" xfId="337" xr:uid="{00000000-0005-0000-0000-00003F010000}"/>
    <cellStyle name="Currency 115 2" xfId="592" xr:uid="{00000000-0005-0000-0000-000040010000}"/>
    <cellStyle name="Currency 115 2 2" xfId="682" xr:uid="{00000000-0005-0000-0000-000041010000}"/>
    <cellStyle name="Currency 115 3" xfId="681" xr:uid="{00000000-0005-0000-0000-000042010000}"/>
    <cellStyle name="Currency 116" xfId="340" xr:uid="{00000000-0005-0000-0000-000043010000}"/>
    <cellStyle name="Currency 116 2" xfId="594" xr:uid="{00000000-0005-0000-0000-000044010000}"/>
    <cellStyle name="Currency 116 2 2" xfId="684" xr:uid="{00000000-0005-0000-0000-000045010000}"/>
    <cellStyle name="Currency 116 3" xfId="683" xr:uid="{00000000-0005-0000-0000-000046010000}"/>
    <cellStyle name="Currency 117" xfId="343" xr:uid="{00000000-0005-0000-0000-000047010000}"/>
    <cellStyle name="Currency 117 2" xfId="596" xr:uid="{00000000-0005-0000-0000-000048010000}"/>
    <cellStyle name="Currency 117 2 2" xfId="686" xr:uid="{00000000-0005-0000-0000-000049010000}"/>
    <cellStyle name="Currency 117 3" xfId="685" xr:uid="{00000000-0005-0000-0000-00004A010000}"/>
    <cellStyle name="Currency 118" xfId="346" xr:uid="{00000000-0005-0000-0000-00004B010000}"/>
    <cellStyle name="Currency 118 2" xfId="598" xr:uid="{00000000-0005-0000-0000-00004C010000}"/>
    <cellStyle name="Currency 118 2 2" xfId="688" xr:uid="{00000000-0005-0000-0000-00004D010000}"/>
    <cellStyle name="Currency 118 3" xfId="687" xr:uid="{00000000-0005-0000-0000-00004E010000}"/>
    <cellStyle name="Currency 119" xfId="349" xr:uid="{00000000-0005-0000-0000-00004F010000}"/>
    <cellStyle name="Currency 119 2" xfId="600" xr:uid="{00000000-0005-0000-0000-000050010000}"/>
    <cellStyle name="Currency 119 2 2" xfId="690" xr:uid="{00000000-0005-0000-0000-000051010000}"/>
    <cellStyle name="Currency 119 3" xfId="689" xr:uid="{00000000-0005-0000-0000-000052010000}"/>
    <cellStyle name="Currency 12" xfId="31" xr:uid="{00000000-0005-0000-0000-000053010000}"/>
    <cellStyle name="Currency 12 2" xfId="388" xr:uid="{00000000-0005-0000-0000-000054010000}"/>
    <cellStyle name="Currency 12 2 2" xfId="692" xr:uid="{00000000-0005-0000-0000-000055010000}"/>
    <cellStyle name="Currency 12 3" xfId="691" xr:uid="{00000000-0005-0000-0000-000056010000}"/>
    <cellStyle name="Currency 120" xfId="352" xr:uid="{00000000-0005-0000-0000-000057010000}"/>
    <cellStyle name="Currency 120 2" xfId="602" xr:uid="{00000000-0005-0000-0000-000058010000}"/>
    <cellStyle name="Currency 120 2 2" xfId="694" xr:uid="{00000000-0005-0000-0000-000059010000}"/>
    <cellStyle name="Currency 120 3" xfId="693" xr:uid="{00000000-0005-0000-0000-00005A010000}"/>
    <cellStyle name="Currency 121" xfId="355" xr:uid="{00000000-0005-0000-0000-00005B010000}"/>
    <cellStyle name="Currency 121 2" xfId="604" xr:uid="{00000000-0005-0000-0000-00005C010000}"/>
    <cellStyle name="Currency 121 2 2" xfId="696" xr:uid="{00000000-0005-0000-0000-00005D010000}"/>
    <cellStyle name="Currency 121 3" xfId="695" xr:uid="{00000000-0005-0000-0000-00005E010000}"/>
    <cellStyle name="Currency 13" xfId="34" xr:uid="{00000000-0005-0000-0000-00005F010000}"/>
    <cellStyle name="Currency 13 2" xfId="390" xr:uid="{00000000-0005-0000-0000-000060010000}"/>
    <cellStyle name="Currency 13 2 2" xfId="698" xr:uid="{00000000-0005-0000-0000-000061010000}"/>
    <cellStyle name="Currency 13 3" xfId="697" xr:uid="{00000000-0005-0000-0000-000062010000}"/>
    <cellStyle name="Currency 14" xfId="37" xr:uid="{00000000-0005-0000-0000-000063010000}"/>
    <cellStyle name="Currency 14 2" xfId="392" xr:uid="{00000000-0005-0000-0000-000064010000}"/>
    <cellStyle name="Currency 14 2 2" xfId="700" xr:uid="{00000000-0005-0000-0000-000065010000}"/>
    <cellStyle name="Currency 14 3" xfId="699" xr:uid="{00000000-0005-0000-0000-000066010000}"/>
    <cellStyle name="Currency 15" xfId="40" xr:uid="{00000000-0005-0000-0000-000067010000}"/>
    <cellStyle name="Currency 15 2" xfId="394" xr:uid="{00000000-0005-0000-0000-000068010000}"/>
    <cellStyle name="Currency 15 2 2" xfId="702" xr:uid="{00000000-0005-0000-0000-000069010000}"/>
    <cellStyle name="Currency 15 3" xfId="701" xr:uid="{00000000-0005-0000-0000-00006A010000}"/>
    <cellStyle name="Currency 16" xfId="43" xr:uid="{00000000-0005-0000-0000-00006B010000}"/>
    <cellStyle name="Currency 16 2" xfId="396" xr:uid="{00000000-0005-0000-0000-00006C010000}"/>
    <cellStyle name="Currency 16 2 2" xfId="704" xr:uid="{00000000-0005-0000-0000-00006D010000}"/>
    <cellStyle name="Currency 16 3" xfId="703" xr:uid="{00000000-0005-0000-0000-00006E010000}"/>
    <cellStyle name="Currency 17" xfId="46" xr:uid="{00000000-0005-0000-0000-00006F010000}"/>
    <cellStyle name="Currency 17 2" xfId="398" xr:uid="{00000000-0005-0000-0000-000070010000}"/>
    <cellStyle name="Currency 17 2 2" xfId="706" xr:uid="{00000000-0005-0000-0000-000071010000}"/>
    <cellStyle name="Currency 17 3" xfId="705" xr:uid="{00000000-0005-0000-0000-000072010000}"/>
    <cellStyle name="Currency 18" xfId="49" xr:uid="{00000000-0005-0000-0000-000073010000}"/>
    <cellStyle name="Currency 18 2" xfId="400" xr:uid="{00000000-0005-0000-0000-000074010000}"/>
    <cellStyle name="Currency 18 2 2" xfId="708" xr:uid="{00000000-0005-0000-0000-000075010000}"/>
    <cellStyle name="Currency 18 3" xfId="707" xr:uid="{00000000-0005-0000-0000-000076010000}"/>
    <cellStyle name="Currency 19" xfId="52" xr:uid="{00000000-0005-0000-0000-000077010000}"/>
    <cellStyle name="Currency 19 2" xfId="402" xr:uid="{00000000-0005-0000-0000-000078010000}"/>
    <cellStyle name="Currency 19 2 2" xfId="710" xr:uid="{00000000-0005-0000-0000-000079010000}"/>
    <cellStyle name="Currency 19 3" xfId="709" xr:uid="{00000000-0005-0000-0000-00007A010000}"/>
    <cellStyle name="Currency 2" xfId="4" xr:uid="{00000000-0005-0000-0000-00007B010000}"/>
    <cellStyle name="Currency 2 2" xfId="362" xr:uid="{00000000-0005-0000-0000-00007C010000}"/>
    <cellStyle name="Currency 2 2 2" xfId="612" xr:uid="{00000000-0005-0000-0000-00007D010000}"/>
    <cellStyle name="Currency 2 3" xfId="370" xr:uid="{00000000-0005-0000-0000-00007E010000}"/>
    <cellStyle name="Currency 2 3 2" xfId="712" xr:uid="{00000000-0005-0000-0000-00007F010000}"/>
    <cellStyle name="Currency 2 4" xfId="711" xr:uid="{00000000-0005-0000-0000-000080010000}"/>
    <cellStyle name="Currency 20" xfId="55" xr:uid="{00000000-0005-0000-0000-000081010000}"/>
    <cellStyle name="Currency 20 2" xfId="404" xr:uid="{00000000-0005-0000-0000-000082010000}"/>
    <cellStyle name="Currency 20 2 2" xfId="714" xr:uid="{00000000-0005-0000-0000-000083010000}"/>
    <cellStyle name="Currency 20 3" xfId="713" xr:uid="{00000000-0005-0000-0000-000084010000}"/>
    <cellStyle name="Currency 21" xfId="58" xr:uid="{00000000-0005-0000-0000-000085010000}"/>
    <cellStyle name="Currency 21 2" xfId="406" xr:uid="{00000000-0005-0000-0000-000086010000}"/>
    <cellStyle name="Currency 21 2 2" xfId="716" xr:uid="{00000000-0005-0000-0000-000087010000}"/>
    <cellStyle name="Currency 21 3" xfId="715" xr:uid="{00000000-0005-0000-0000-000088010000}"/>
    <cellStyle name="Currency 22" xfId="61" xr:uid="{00000000-0005-0000-0000-000089010000}"/>
    <cellStyle name="Currency 22 2" xfId="408" xr:uid="{00000000-0005-0000-0000-00008A010000}"/>
    <cellStyle name="Currency 22 2 2" xfId="718" xr:uid="{00000000-0005-0000-0000-00008B010000}"/>
    <cellStyle name="Currency 22 3" xfId="717" xr:uid="{00000000-0005-0000-0000-00008C010000}"/>
    <cellStyle name="Currency 23" xfId="64" xr:uid="{00000000-0005-0000-0000-00008D010000}"/>
    <cellStyle name="Currency 23 2" xfId="410" xr:uid="{00000000-0005-0000-0000-00008E010000}"/>
    <cellStyle name="Currency 23 2 2" xfId="720" xr:uid="{00000000-0005-0000-0000-00008F010000}"/>
    <cellStyle name="Currency 23 3" xfId="719" xr:uid="{00000000-0005-0000-0000-000090010000}"/>
    <cellStyle name="Currency 24" xfId="67" xr:uid="{00000000-0005-0000-0000-000091010000}"/>
    <cellStyle name="Currency 24 2" xfId="412" xr:uid="{00000000-0005-0000-0000-000092010000}"/>
    <cellStyle name="Currency 24 2 2" xfId="722" xr:uid="{00000000-0005-0000-0000-000093010000}"/>
    <cellStyle name="Currency 24 3" xfId="721" xr:uid="{00000000-0005-0000-0000-000094010000}"/>
    <cellStyle name="Currency 25" xfId="70" xr:uid="{00000000-0005-0000-0000-000095010000}"/>
    <cellStyle name="Currency 25 2" xfId="414" xr:uid="{00000000-0005-0000-0000-000096010000}"/>
    <cellStyle name="Currency 25 2 2" xfId="724" xr:uid="{00000000-0005-0000-0000-000097010000}"/>
    <cellStyle name="Currency 25 3" xfId="723" xr:uid="{00000000-0005-0000-0000-000098010000}"/>
    <cellStyle name="Currency 26" xfId="73" xr:uid="{00000000-0005-0000-0000-000099010000}"/>
    <cellStyle name="Currency 26 2" xfId="416" xr:uid="{00000000-0005-0000-0000-00009A010000}"/>
    <cellStyle name="Currency 26 2 2" xfId="726" xr:uid="{00000000-0005-0000-0000-00009B010000}"/>
    <cellStyle name="Currency 26 3" xfId="725" xr:uid="{00000000-0005-0000-0000-00009C010000}"/>
    <cellStyle name="Currency 27" xfId="76" xr:uid="{00000000-0005-0000-0000-00009D010000}"/>
    <cellStyle name="Currency 27 2" xfId="418" xr:uid="{00000000-0005-0000-0000-00009E010000}"/>
    <cellStyle name="Currency 27 2 2" xfId="728" xr:uid="{00000000-0005-0000-0000-00009F010000}"/>
    <cellStyle name="Currency 27 3" xfId="727" xr:uid="{00000000-0005-0000-0000-0000A0010000}"/>
    <cellStyle name="Currency 28" xfId="79" xr:uid="{00000000-0005-0000-0000-0000A1010000}"/>
    <cellStyle name="Currency 28 2" xfId="420" xr:uid="{00000000-0005-0000-0000-0000A2010000}"/>
    <cellStyle name="Currency 28 2 2" xfId="730" xr:uid="{00000000-0005-0000-0000-0000A3010000}"/>
    <cellStyle name="Currency 28 3" xfId="729" xr:uid="{00000000-0005-0000-0000-0000A4010000}"/>
    <cellStyle name="Currency 29" xfId="82" xr:uid="{00000000-0005-0000-0000-0000A5010000}"/>
    <cellStyle name="Currency 29 2" xfId="422" xr:uid="{00000000-0005-0000-0000-0000A6010000}"/>
    <cellStyle name="Currency 29 2 2" xfId="732" xr:uid="{00000000-0005-0000-0000-0000A7010000}"/>
    <cellStyle name="Currency 29 3" xfId="731" xr:uid="{00000000-0005-0000-0000-0000A8010000}"/>
    <cellStyle name="Currency 3" xfId="2" xr:uid="{00000000-0005-0000-0000-0000A9010000}"/>
    <cellStyle name="Currency 3 2" xfId="369" xr:uid="{00000000-0005-0000-0000-0000AA010000}"/>
    <cellStyle name="Currency 30" xfId="85" xr:uid="{00000000-0005-0000-0000-0000AB010000}"/>
    <cellStyle name="Currency 30 2" xfId="424" xr:uid="{00000000-0005-0000-0000-0000AC010000}"/>
    <cellStyle name="Currency 30 2 2" xfId="734" xr:uid="{00000000-0005-0000-0000-0000AD010000}"/>
    <cellStyle name="Currency 30 3" xfId="733" xr:uid="{00000000-0005-0000-0000-0000AE010000}"/>
    <cellStyle name="Currency 31" xfId="88" xr:uid="{00000000-0005-0000-0000-0000AF010000}"/>
    <cellStyle name="Currency 31 2" xfId="426" xr:uid="{00000000-0005-0000-0000-0000B0010000}"/>
    <cellStyle name="Currency 31 2 2" xfId="736" xr:uid="{00000000-0005-0000-0000-0000B1010000}"/>
    <cellStyle name="Currency 31 3" xfId="735" xr:uid="{00000000-0005-0000-0000-0000B2010000}"/>
    <cellStyle name="Currency 32" xfId="91" xr:uid="{00000000-0005-0000-0000-0000B3010000}"/>
    <cellStyle name="Currency 32 2" xfId="428" xr:uid="{00000000-0005-0000-0000-0000B4010000}"/>
    <cellStyle name="Currency 32 2 2" xfId="738" xr:uid="{00000000-0005-0000-0000-0000B5010000}"/>
    <cellStyle name="Currency 32 3" xfId="737" xr:uid="{00000000-0005-0000-0000-0000B6010000}"/>
    <cellStyle name="Currency 33" xfId="94" xr:uid="{00000000-0005-0000-0000-0000B7010000}"/>
    <cellStyle name="Currency 33 2" xfId="430" xr:uid="{00000000-0005-0000-0000-0000B8010000}"/>
    <cellStyle name="Currency 33 2 2" xfId="740" xr:uid="{00000000-0005-0000-0000-0000B9010000}"/>
    <cellStyle name="Currency 33 3" xfId="739" xr:uid="{00000000-0005-0000-0000-0000BA010000}"/>
    <cellStyle name="Currency 34" xfId="97" xr:uid="{00000000-0005-0000-0000-0000BB010000}"/>
    <cellStyle name="Currency 34 2" xfId="432" xr:uid="{00000000-0005-0000-0000-0000BC010000}"/>
    <cellStyle name="Currency 34 2 2" xfId="742" xr:uid="{00000000-0005-0000-0000-0000BD010000}"/>
    <cellStyle name="Currency 34 3" xfId="741" xr:uid="{00000000-0005-0000-0000-0000BE010000}"/>
    <cellStyle name="Currency 35" xfId="100" xr:uid="{00000000-0005-0000-0000-0000BF010000}"/>
    <cellStyle name="Currency 35 2" xfId="434" xr:uid="{00000000-0005-0000-0000-0000C0010000}"/>
    <cellStyle name="Currency 35 2 2" xfId="744" xr:uid="{00000000-0005-0000-0000-0000C1010000}"/>
    <cellStyle name="Currency 35 3" xfId="743" xr:uid="{00000000-0005-0000-0000-0000C2010000}"/>
    <cellStyle name="Currency 36" xfId="103" xr:uid="{00000000-0005-0000-0000-0000C3010000}"/>
    <cellStyle name="Currency 36 2" xfId="436" xr:uid="{00000000-0005-0000-0000-0000C4010000}"/>
    <cellStyle name="Currency 36 2 2" xfId="746" xr:uid="{00000000-0005-0000-0000-0000C5010000}"/>
    <cellStyle name="Currency 36 3" xfId="745" xr:uid="{00000000-0005-0000-0000-0000C6010000}"/>
    <cellStyle name="Currency 37" xfId="106" xr:uid="{00000000-0005-0000-0000-0000C7010000}"/>
    <cellStyle name="Currency 37 2" xfId="438" xr:uid="{00000000-0005-0000-0000-0000C8010000}"/>
    <cellStyle name="Currency 37 2 2" xfId="748" xr:uid="{00000000-0005-0000-0000-0000C9010000}"/>
    <cellStyle name="Currency 37 3" xfId="747" xr:uid="{00000000-0005-0000-0000-0000CA010000}"/>
    <cellStyle name="Currency 38" xfId="109" xr:uid="{00000000-0005-0000-0000-0000CB010000}"/>
    <cellStyle name="Currency 38 2" xfId="440" xr:uid="{00000000-0005-0000-0000-0000CC010000}"/>
    <cellStyle name="Currency 38 2 2" xfId="750" xr:uid="{00000000-0005-0000-0000-0000CD010000}"/>
    <cellStyle name="Currency 38 3" xfId="749" xr:uid="{00000000-0005-0000-0000-0000CE010000}"/>
    <cellStyle name="Currency 39" xfId="112" xr:uid="{00000000-0005-0000-0000-0000CF010000}"/>
    <cellStyle name="Currency 39 2" xfId="442" xr:uid="{00000000-0005-0000-0000-0000D0010000}"/>
    <cellStyle name="Currency 39 2 2" xfId="752" xr:uid="{00000000-0005-0000-0000-0000D1010000}"/>
    <cellStyle name="Currency 39 3" xfId="751" xr:uid="{00000000-0005-0000-0000-0000D2010000}"/>
    <cellStyle name="Currency 4" xfId="7" xr:uid="{00000000-0005-0000-0000-0000D3010000}"/>
    <cellStyle name="Currency 4 2" xfId="372" xr:uid="{00000000-0005-0000-0000-0000D4010000}"/>
    <cellStyle name="Currency 4 2 2" xfId="754" xr:uid="{00000000-0005-0000-0000-0000D5010000}"/>
    <cellStyle name="Currency 4 3" xfId="753" xr:uid="{00000000-0005-0000-0000-0000D6010000}"/>
    <cellStyle name="Currency 40" xfId="115" xr:uid="{00000000-0005-0000-0000-0000D7010000}"/>
    <cellStyle name="Currency 40 2" xfId="444" xr:uid="{00000000-0005-0000-0000-0000D8010000}"/>
    <cellStyle name="Currency 40 2 2" xfId="756" xr:uid="{00000000-0005-0000-0000-0000D9010000}"/>
    <cellStyle name="Currency 40 3" xfId="755" xr:uid="{00000000-0005-0000-0000-0000DA010000}"/>
    <cellStyle name="Currency 41" xfId="118" xr:uid="{00000000-0005-0000-0000-0000DB010000}"/>
    <cellStyle name="Currency 41 2" xfId="446" xr:uid="{00000000-0005-0000-0000-0000DC010000}"/>
    <cellStyle name="Currency 41 2 2" xfId="758" xr:uid="{00000000-0005-0000-0000-0000DD010000}"/>
    <cellStyle name="Currency 41 3" xfId="757" xr:uid="{00000000-0005-0000-0000-0000DE010000}"/>
    <cellStyle name="Currency 42" xfId="121" xr:uid="{00000000-0005-0000-0000-0000DF010000}"/>
    <cellStyle name="Currency 42 2" xfId="448" xr:uid="{00000000-0005-0000-0000-0000E0010000}"/>
    <cellStyle name="Currency 42 2 2" xfId="760" xr:uid="{00000000-0005-0000-0000-0000E1010000}"/>
    <cellStyle name="Currency 42 3" xfId="759" xr:uid="{00000000-0005-0000-0000-0000E2010000}"/>
    <cellStyle name="Currency 43" xfId="124" xr:uid="{00000000-0005-0000-0000-0000E3010000}"/>
    <cellStyle name="Currency 43 2" xfId="450" xr:uid="{00000000-0005-0000-0000-0000E4010000}"/>
    <cellStyle name="Currency 43 2 2" xfId="762" xr:uid="{00000000-0005-0000-0000-0000E5010000}"/>
    <cellStyle name="Currency 43 3" xfId="761" xr:uid="{00000000-0005-0000-0000-0000E6010000}"/>
    <cellStyle name="Currency 44" xfId="127" xr:uid="{00000000-0005-0000-0000-0000E7010000}"/>
    <cellStyle name="Currency 44 2" xfId="452" xr:uid="{00000000-0005-0000-0000-0000E8010000}"/>
    <cellStyle name="Currency 44 2 2" xfId="764" xr:uid="{00000000-0005-0000-0000-0000E9010000}"/>
    <cellStyle name="Currency 44 3" xfId="763" xr:uid="{00000000-0005-0000-0000-0000EA010000}"/>
    <cellStyle name="Currency 45" xfId="130" xr:uid="{00000000-0005-0000-0000-0000EB010000}"/>
    <cellStyle name="Currency 45 2" xfId="454" xr:uid="{00000000-0005-0000-0000-0000EC010000}"/>
    <cellStyle name="Currency 45 2 2" xfId="766" xr:uid="{00000000-0005-0000-0000-0000ED010000}"/>
    <cellStyle name="Currency 45 3" xfId="765" xr:uid="{00000000-0005-0000-0000-0000EE010000}"/>
    <cellStyle name="Currency 46" xfId="133" xr:uid="{00000000-0005-0000-0000-0000EF010000}"/>
    <cellStyle name="Currency 46 2" xfId="456" xr:uid="{00000000-0005-0000-0000-0000F0010000}"/>
    <cellStyle name="Currency 46 2 2" xfId="768" xr:uid="{00000000-0005-0000-0000-0000F1010000}"/>
    <cellStyle name="Currency 46 3" xfId="767" xr:uid="{00000000-0005-0000-0000-0000F2010000}"/>
    <cellStyle name="Currency 47" xfId="136" xr:uid="{00000000-0005-0000-0000-0000F3010000}"/>
    <cellStyle name="Currency 47 2" xfId="458" xr:uid="{00000000-0005-0000-0000-0000F4010000}"/>
    <cellStyle name="Currency 47 2 2" xfId="770" xr:uid="{00000000-0005-0000-0000-0000F5010000}"/>
    <cellStyle name="Currency 47 3" xfId="769" xr:uid="{00000000-0005-0000-0000-0000F6010000}"/>
    <cellStyle name="Currency 48" xfId="139" xr:uid="{00000000-0005-0000-0000-0000F7010000}"/>
    <cellStyle name="Currency 48 2" xfId="460" xr:uid="{00000000-0005-0000-0000-0000F8010000}"/>
    <cellStyle name="Currency 48 2 2" xfId="772" xr:uid="{00000000-0005-0000-0000-0000F9010000}"/>
    <cellStyle name="Currency 48 3" xfId="771" xr:uid="{00000000-0005-0000-0000-0000FA010000}"/>
    <cellStyle name="Currency 49" xfId="142" xr:uid="{00000000-0005-0000-0000-0000FB010000}"/>
    <cellStyle name="Currency 49 2" xfId="462" xr:uid="{00000000-0005-0000-0000-0000FC010000}"/>
    <cellStyle name="Currency 49 2 2" xfId="774" xr:uid="{00000000-0005-0000-0000-0000FD010000}"/>
    <cellStyle name="Currency 49 3" xfId="773" xr:uid="{00000000-0005-0000-0000-0000FE010000}"/>
    <cellStyle name="Currency 5" xfId="10" xr:uid="{00000000-0005-0000-0000-0000FF010000}"/>
    <cellStyle name="Currency 5 2" xfId="374" xr:uid="{00000000-0005-0000-0000-000000020000}"/>
    <cellStyle name="Currency 5 2 2" xfId="776" xr:uid="{00000000-0005-0000-0000-000001020000}"/>
    <cellStyle name="Currency 5 3" xfId="775" xr:uid="{00000000-0005-0000-0000-000002020000}"/>
    <cellStyle name="Currency 50" xfId="145" xr:uid="{00000000-0005-0000-0000-000003020000}"/>
    <cellStyle name="Currency 50 2" xfId="464" xr:uid="{00000000-0005-0000-0000-000004020000}"/>
    <cellStyle name="Currency 50 2 2" xfId="778" xr:uid="{00000000-0005-0000-0000-000005020000}"/>
    <cellStyle name="Currency 50 3" xfId="777" xr:uid="{00000000-0005-0000-0000-000006020000}"/>
    <cellStyle name="Currency 51" xfId="148" xr:uid="{00000000-0005-0000-0000-000007020000}"/>
    <cellStyle name="Currency 51 2" xfId="466" xr:uid="{00000000-0005-0000-0000-000008020000}"/>
    <cellStyle name="Currency 51 2 2" xfId="780" xr:uid="{00000000-0005-0000-0000-000009020000}"/>
    <cellStyle name="Currency 51 3" xfId="779" xr:uid="{00000000-0005-0000-0000-00000A020000}"/>
    <cellStyle name="Currency 52" xfId="151" xr:uid="{00000000-0005-0000-0000-00000B020000}"/>
    <cellStyle name="Currency 52 2" xfId="468" xr:uid="{00000000-0005-0000-0000-00000C020000}"/>
    <cellStyle name="Currency 52 2 2" xfId="782" xr:uid="{00000000-0005-0000-0000-00000D020000}"/>
    <cellStyle name="Currency 52 3" xfId="781" xr:uid="{00000000-0005-0000-0000-00000E020000}"/>
    <cellStyle name="Currency 53" xfId="368" xr:uid="{00000000-0005-0000-0000-00000F020000}"/>
    <cellStyle name="Currency 54" xfId="619" xr:uid="{00000000-0005-0000-0000-000010020000}"/>
    <cellStyle name="Currency 54 2" xfId="783" xr:uid="{00000000-0005-0000-0000-000011020000}"/>
    <cellStyle name="Currency 55" xfId="158" xr:uid="{00000000-0005-0000-0000-000012020000}"/>
    <cellStyle name="Currency 55 2" xfId="472" xr:uid="{00000000-0005-0000-0000-000013020000}"/>
    <cellStyle name="Currency 55 2 2" xfId="785" xr:uid="{00000000-0005-0000-0000-000014020000}"/>
    <cellStyle name="Currency 55 3" xfId="784" xr:uid="{00000000-0005-0000-0000-000015020000}"/>
    <cellStyle name="Currency 56" xfId="161" xr:uid="{00000000-0005-0000-0000-000016020000}"/>
    <cellStyle name="Currency 56 2" xfId="474" xr:uid="{00000000-0005-0000-0000-000017020000}"/>
    <cellStyle name="Currency 56 2 2" xfId="787" xr:uid="{00000000-0005-0000-0000-000018020000}"/>
    <cellStyle name="Currency 56 3" xfId="786" xr:uid="{00000000-0005-0000-0000-000019020000}"/>
    <cellStyle name="Currency 57" xfId="164" xr:uid="{00000000-0005-0000-0000-00001A020000}"/>
    <cellStyle name="Currency 57 2" xfId="476" xr:uid="{00000000-0005-0000-0000-00001B020000}"/>
    <cellStyle name="Currency 57 2 2" xfId="789" xr:uid="{00000000-0005-0000-0000-00001C020000}"/>
    <cellStyle name="Currency 57 3" xfId="788" xr:uid="{00000000-0005-0000-0000-00001D020000}"/>
    <cellStyle name="Currency 58" xfId="167" xr:uid="{00000000-0005-0000-0000-00001E020000}"/>
    <cellStyle name="Currency 58 2" xfId="478" xr:uid="{00000000-0005-0000-0000-00001F020000}"/>
    <cellStyle name="Currency 58 2 2" xfId="791" xr:uid="{00000000-0005-0000-0000-000020020000}"/>
    <cellStyle name="Currency 58 3" xfId="790" xr:uid="{00000000-0005-0000-0000-000021020000}"/>
    <cellStyle name="Currency 59" xfId="170" xr:uid="{00000000-0005-0000-0000-000022020000}"/>
    <cellStyle name="Currency 59 2" xfId="480" xr:uid="{00000000-0005-0000-0000-000023020000}"/>
    <cellStyle name="Currency 59 2 2" xfId="793" xr:uid="{00000000-0005-0000-0000-000024020000}"/>
    <cellStyle name="Currency 59 3" xfId="792" xr:uid="{00000000-0005-0000-0000-000025020000}"/>
    <cellStyle name="Currency 6" xfId="13" xr:uid="{00000000-0005-0000-0000-000026020000}"/>
    <cellStyle name="Currency 6 2" xfId="376" xr:uid="{00000000-0005-0000-0000-000027020000}"/>
    <cellStyle name="Currency 6 2 2" xfId="795" xr:uid="{00000000-0005-0000-0000-000028020000}"/>
    <cellStyle name="Currency 6 3" xfId="794" xr:uid="{00000000-0005-0000-0000-000029020000}"/>
    <cellStyle name="Currency 60" xfId="173" xr:uid="{00000000-0005-0000-0000-00002A020000}"/>
    <cellStyle name="Currency 60 2" xfId="482" xr:uid="{00000000-0005-0000-0000-00002B020000}"/>
    <cellStyle name="Currency 60 2 2" xfId="797" xr:uid="{00000000-0005-0000-0000-00002C020000}"/>
    <cellStyle name="Currency 60 3" xfId="796" xr:uid="{00000000-0005-0000-0000-00002D020000}"/>
    <cellStyle name="Currency 61" xfId="176" xr:uid="{00000000-0005-0000-0000-00002E020000}"/>
    <cellStyle name="Currency 61 2" xfId="484" xr:uid="{00000000-0005-0000-0000-00002F020000}"/>
    <cellStyle name="Currency 61 2 2" xfId="799" xr:uid="{00000000-0005-0000-0000-000030020000}"/>
    <cellStyle name="Currency 61 3" xfId="798" xr:uid="{00000000-0005-0000-0000-000031020000}"/>
    <cellStyle name="Currency 62" xfId="179" xr:uid="{00000000-0005-0000-0000-000032020000}"/>
    <cellStyle name="Currency 62 2" xfId="486" xr:uid="{00000000-0005-0000-0000-000033020000}"/>
    <cellStyle name="Currency 62 2 2" xfId="801" xr:uid="{00000000-0005-0000-0000-000034020000}"/>
    <cellStyle name="Currency 62 3" xfId="800" xr:uid="{00000000-0005-0000-0000-000035020000}"/>
    <cellStyle name="Currency 63" xfId="182" xr:uid="{00000000-0005-0000-0000-000036020000}"/>
    <cellStyle name="Currency 63 2" xfId="488" xr:uid="{00000000-0005-0000-0000-000037020000}"/>
    <cellStyle name="Currency 63 2 2" xfId="803" xr:uid="{00000000-0005-0000-0000-000038020000}"/>
    <cellStyle name="Currency 63 3" xfId="802" xr:uid="{00000000-0005-0000-0000-000039020000}"/>
    <cellStyle name="Currency 64" xfId="185" xr:uid="{00000000-0005-0000-0000-00003A020000}"/>
    <cellStyle name="Currency 64 2" xfId="490" xr:uid="{00000000-0005-0000-0000-00003B020000}"/>
    <cellStyle name="Currency 64 2 2" xfId="805" xr:uid="{00000000-0005-0000-0000-00003C020000}"/>
    <cellStyle name="Currency 64 3" xfId="804" xr:uid="{00000000-0005-0000-0000-00003D020000}"/>
    <cellStyle name="Currency 66" xfId="190" xr:uid="{00000000-0005-0000-0000-00003E020000}"/>
    <cellStyle name="Currency 66 2" xfId="493" xr:uid="{00000000-0005-0000-0000-00003F020000}"/>
    <cellStyle name="Currency 66 2 2" xfId="807" xr:uid="{00000000-0005-0000-0000-000040020000}"/>
    <cellStyle name="Currency 66 3" xfId="806" xr:uid="{00000000-0005-0000-0000-000041020000}"/>
    <cellStyle name="Currency 67" xfId="193" xr:uid="{00000000-0005-0000-0000-000042020000}"/>
    <cellStyle name="Currency 67 2" xfId="495" xr:uid="{00000000-0005-0000-0000-000043020000}"/>
    <cellStyle name="Currency 67 2 2" xfId="809" xr:uid="{00000000-0005-0000-0000-000044020000}"/>
    <cellStyle name="Currency 67 3" xfId="808" xr:uid="{00000000-0005-0000-0000-000045020000}"/>
    <cellStyle name="Currency 68" xfId="196" xr:uid="{00000000-0005-0000-0000-000046020000}"/>
    <cellStyle name="Currency 68 2" xfId="497" xr:uid="{00000000-0005-0000-0000-000047020000}"/>
    <cellStyle name="Currency 68 2 2" xfId="811" xr:uid="{00000000-0005-0000-0000-000048020000}"/>
    <cellStyle name="Currency 68 3" xfId="810" xr:uid="{00000000-0005-0000-0000-000049020000}"/>
    <cellStyle name="Currency 69" xfId="199" xr:uid="{00000000-0005-0000-0000-00004A020000}"/>
    <cellStyle name="Currency 69 2" xfId="499" xr:uid="{00000000-0005-0000-0000-00004B020000}"/>
    <cellStyle name="Currency 69 2 2" xfId="813" xr:uid="{00000000-0005-0000-0000-00004C020000}"/>
    <cellStyle name="Currency 69 3" xfId="812" xr:uid="{00000000-0005-0000-0000-00004D020000}"/>
    <cellStyle name="Currency 7" xfId="16" xr:uid="{00000000-0005-0000-0000-00004E020000}"/>
    <cellStyle name="Currency 7 2" xfId="378" xr:uid="{00000000-0005-0000-0000-00004F020000}"/>
    <cellStyle name="Currency 7 2 2" xfId="815" xr:uid="{00000000-0005-0000-0000-000050020000}"/>
    <cellStyle name="Currency 7 3" xfId="814" xr:uid="{00000000-0005-0000-0000-000051020000}"/>
    <cellStyle name="Currency 70" xfId="202" xr:uid="{00000000-0005-0000-0000-000052020000}"/>
    <cellStyle name="Currency 70 2" xfId="501" xr:uid="{00000000-0005-0000-0000-000053020000}"/>
    <cellStyle name="Currency 70 2 2" xfId="817" xr:uid="{00000000-0005-0000-0000-000054020000}"/>
    <cellStyle name="Currency 70 3" xfId="816" xr:uid="{00000000-0005-0000-0000-000055020000}"/>
    <cellStyle name="Currency 71" xfId="205" xr:uid="{00000000-0005-0000-0000-000056020000}"/>
    <cellStyle name="Currency 71 2" xfId="503" xr:uid="{00000000-0005-0000-0000-000057020000}"/>
    <cellStyle name="Currency 71 2 2" xfId="819" xr:uid="{00000000-0005-0000-0000-000058020000}"/>
    <cellStyle name="Currency 71 3" xfId="818" xr:uid="{00000000-0005-0000-0000-000059020000}"/>
    <cellStyle name="Currency 72" xfId="208" xr:uid="{00000000-0005-0000-0000-00005A020000}"/>
    <cellStyle name="Currency 72 2" xfId="505" xr:uid="{00000000-0005-0000-0000-00005B020000}"/>
    <cellStyle name="Currency 72 2 2" xfId="821" xr:uid="{00000000-0005-0000-0000-00005C020000}"/>
    <cellStyle name="Currency 72 3" xfId="820" xr:uid="{00000000-0005-0000-0000-00005D020000}"/>
    <cellStyle name="Currency 73" xfId="211" xr:uid="{00000000-0005-0000-0000-00005E020000}"/>
    <cellStyle name="Currency 73 2" xfId="507" xr:uid="{00000000-0005-0000-0000-00005F020000}"/>
    <cellStyle name="Currency 73 2 2" xfId="823" xr:uid="{00000000-0005-0000-0000-000060020000}"/>
    <cellStyle name="Currency 73 3" xfId="822" xr:uid="{00000000-0005-0000-0000-000061020000}"/>
    <cellStyle name="Currency 74" xfId="214" xr:uid="{00000000-0005-0000-0000-000062020000}"/>
    <cellStyle name="Currency 74 2" xfId="509" xr:uid="{00000000-0005-0000-0000-000063020000}"/>
    <cellStyle name="Currency 74 2 2" xfId="825" xr:uid="{00000000-0005-0000-0000-000064020000}"/>
    <cellStyle name="Currency 74 3" xfId="824" xr:uid="{00000000-0005-0000-0000-000065020000}"/>
    <cellStyle name="Currency 75" xfId="217" xr:uid="{00000000-0005-0000-0000-000066020000}"/>
    <cellStyle name="Currency 75 2" xfId="511" xr:uid="{00000000-0005-0000-0000-000067020000}"/>
    <cellStyle name="Currency 75 2 2" xfId="827" xr:uid="{00000000-0005-0000-0000-000068020000}"/>
    <cellStyle name="Currency 75 3" xfId="826" xr:uid="{00000000-0005-0000-0000-000069020000}"/>
    <cellStyle name="Currency 76" xfId="220" xr:uid="{00000000-0005-0000-0000-00006A020000}"/>
    <cellStyle name="Currency 76 2" xfId="513" xr:uid="{00000000-0005-0000-0000-00006B020000}"/>
    <cellStyle name="Currency 76 2 2" xfId="829" xr:uid="{00000000-0005-0000-0000-00006C020000}"/>
    <cellStyle name="Currency 76 3" xfId="828" xr:uid="{00000000-0005-0000-0000-00006D020000}"/>
    <cellStyle name="Currency 77" xfId="223" xr:uid="{00000000-0005-0000-0000-00006E020000}"/>
    <cellStyle name="Currency 77 2" xfId="515" xr:uid="{00000000-0005-0000-0000-00006F020000}"/>
    <cellStyle name="Currency 77 2 2" xfId="831" xr:uid="{00000000-0005-0000-0000-000070020000}"/>
    <cellStyle name="Currency 77 3" xfId="830" xr:uid="{00000000-0005-0000-0000-000071020000}"/>
    <cellStyle name="Currency 78" xfId="226" xr:uid="{00000000-0005-0000-0000-000072020000}"/>
    <cellStyle name="Currency 78 2" xfId="517" xr:uid="{00000000-0005-0000-0000-000073020000}"/>
    <cellStyle name="Currency 78 2 2" xfId="833" xr:uid="{00000000-0005-0000-0000-000074020000}"/>
    <cellStyle name="Currency 78 3" xfId="832" xr:uid="{00000000-0005-0000-0000-000075020000}"/>
    <cellStyle name="Currency 79" xfId="229" xr:uid="{00000000-0005-0000-0000-000076020000}"/>
    <cellStyle name="Currency 79 2" xfId="519" xr:uid="{00000000-0005-0000-0000-000077020000}"/>
    <cellStyle name="Currency 79 2 2" xfId="835" xr:uid="{00000000-0005-0000-0000-000078020000}"/>
    <cellStyle name="Currency 79 3" xfId="834" xr:uid="{00000000-0005-0000-0000-000079020000}"/>
    <cellStyle name="Currency 8" xfId="19" xr:uid="{00000000-0005-0000-0000-00007A020000}"/>
    <cellStyle name="Currency 8 2" xfId="380" xr:uid="{00000000-0005-0000-0000-00007B020000}"/>
    <cellStyle name="Currency 8 2 2" xfId="837" xr:uid="{00000000-0005-0000-0000-00007C020000}"/>
    <cellStyle name="Currency 8 3" xfId="836" xr:uid="{00000000-0005-0000-0000-00007D020000}"/>
    <cellStyle name="Currency 80" xfId="232" xr:uid="{00000000-0005-0000-0000-00007E020000}"/>
    <cellStyle name="Currency 80 2" xfId="521" xr:uid="{00000000-0005-0000-0000-00007F020000}"/>
    <cellStyle name="Currency 80 2 2" xfId="839" xr:uid="{00000000-0005-0000-0000-000080020000}"/>
    <cellStyle name="Currency 80 3" xfId="838" xr:uid="{00000000-0005-0000-0000-000081020000}"/>
    <cellStyle name="Currency 81" xfId="235" xr:uid="{00000000-0005-0000-0000-000082020000}"/>
    <cellStyle name="Currency 81 2" xfId="523" xr:uid="{00000000-0005-0000-0000-000083020000}"/>
    <cellStyle name="Currency 81 2 2" xfId="841" xr:uid="{00000000-0005-0000-0000-000084020000}"/>
    <cellStyle name="Currency 81 3" xfId="840" xr:uid="{00000000-0005-0000-0000-000085020000}"/>
    <cellStyle name="Currency 82" xfId="238" xr:uid="{00000000-0005-0000-0000-000086020000}"/>
    <cellStyle name="Currency 82 2" xfId="525" xr:uid="{00000000-0005-0000-0000-000087020000}"/>
    <cellStyle name="Currency 82 2 2" xfId="843" xr:uid="{00000000-0005-0000-0000-000088020000}"/>
    <cellStyle name="Currency 82 3" xfId="842" xr:uid="{00000000-0005-0000-0000-000089020000}"/>
    <cellStyle name="Currency 83" xfId="241" xr:uid="{00000000-0005-0000-0000-00008A020000}"/>
    <cellStyle name="Currency 83 2" xfId="527" xr:uid="{00000000-0005-0000-0000-00008B020000}"/>
    <cellStyle name="Currency 83 2 2" xfId="845" xr:uid="{00000000-0005-0000-0000-00008C020000}"/>
    <cellStyle name="Currency 83 3" xfId="844" xr:uid="{00000000-0005-0000-0000-00008D020000}"/>
    <cellStyle name="Currency 84" xfId="244" xr:uid="{00000000-0005-0000-0000-00008E020000}"/>
    <cellStyle name="Currency 84 2" xfId="529" xr:uid="{00000000-0005-0000-0000-00008F020000}"/>
    <cellStyle name="Currency 84 2 2" xfId="847" xr:uid="{00000000-0005-0000-0000-000090020000}"/>
    <cellStyle name="Currency 84 3" xfId="846" xr:uid="{00000000-0005-0000-0000-000091020000}"/>
    <cellStyle name="Currency 85" xfId="247" xr:uid="{00000000-0005-0000-0000-000092020000}"/>
    <cellStyle name="Currency 85 2" xfId="531" xr:uid="{00000000-0005-0000-0000-000093020000}"/>
    <cellStyle name="Currency 85 2 2" xfId="849" xr:uid="{00000000-0005-0000-0000-000094020000}"/>
    <cellStyle name="Currency 85 3" xfId="848" xr:uid="{00000000-0005-0000-0000-000095020000}"/>
    <cellStyle name="Currency 86" xfId="250" xr:uid="{00000000-0005-0000-0000-000096020000}"/>
    <cellStyle name="Currency 86 2" xfId="533" xr:uid="{00000000-0005-0000-0000-000097020000}"/>
    <cellStyle name="Currency 86 2 2" xfId="851" xr:uid="{00000000-0005-0000-0000-000098020000}"/>
    <cellStyle name="Currency 86 3" xfId="850" xr:uid="{00000000-0005-0000-0000-000099020000}"/>
    <cellStyle name="Currency 87" xfId="253" xr:uid="{00000000-0005-0000-0000-00009A020000}"/>
    <cellStyle name="Currency 87 2" xfId="535" xr:uid="{00000000-0005-0000-0000-00009B020000}"/>
    <cellStyle name="Currency 87 2 2" xfId="853" xr:uid="{00000000-0005-0000-0000-00009C020000}"/>
    <cellStyle name="Currency 87 3" xfId="852" xr:uid="{00000000-0005-0000-0000-00009D020000}"/>
    <cellStyle name="Currency 88" xfId="256" xr:uid="{00000000-0005-0000-0000-00009E020000}"/>
    <cellStyle name="Currency 88 2" xfId="537" xr:uid="{00000000-0005-0000-0000-00009F020000}"/>
    <cellStyle name="Currency 88 2 2" xfId="855" xr:uid="{00000000-0005-0000-0000-0000A0020000}"/>
    <cellStyle name="Currency 88 3" xfId="854" xr:uid="{00000000-0005-0000-0000-0000A1020000}"/>
    <cellStyle name="Currency 89" xfId="259" xr:uid="{00000000-0005-0000-0000-0000A2020000}"/>
    <cellStyle name="Currency 89 2" xfId="539" xr:uid="{00000000-0005-0000-0000-0000A3020000}"/>
    <cellStyle name="Currency 89 2 2" xfId="857" xr:uid="{00000000-0005-0000-0000-0000A4020000}"/>
    <cellStyle name="Currency 89 3" xfId="856" xr:uid="{00000000-0005-0000-0000-0000A5020000}"/>
    <cellStyle name="Currency 9" xfId="22" xr:uid="{00000000-0005-0000-0000-0000A6020000}"/>
    <cellStyle name="Currency 9 2" xfId="382" xr:uid="{00000000-0005-0000-0000-0000A7020000}"/>
    <cellStyle name="Currency 9 2 2" xfId="859" xr:uid="{00000000-0005-0000-0000-0000A8020000}"/>
    <cellStyle name="Currency 9 3" xfId="858" xr:uid="{00000000-0005-0000-0000-0000A9020000}"/>
    <cellStyle name="Currency 90" xfId="262" xr:uid="{00000000-0005-0000-0000-0000AA020000}"/>
    <cellStyle name="Currency 90 2" xfId="542" xr:uid="{00000000-0005-0000-0000-0000AB020000}"/>
    <cellStyle name="Currency 90 2 2" xfId="861" xr:uid="{00000000-0005-0000-0000-0000AC020000}"/>
    <cellStyle name="Currency 90 3" xfId="860" xr:uid="{00000000-0005-0000-0000-0000AD020000}"/>
    <cellStyle name="Currency 91" xfId="265" xr:uid="{00000000-0005-0000-0000-0000AE020000}"/>
    <cellStyle name="Currency 91 2" xfId="544" xr:uid="{00000000-0005-0000-0000-0000AF020000}"/>
    <cellStyle name="Currency 91 2 2" xfId="863" xr:uid="{00000000-0005-0000-0000-0000B0020000}"/>
    <cellStyle name="Currency 91 3" xfId="862" xr:uid="{00000000-0005-0000-0000-0000B1020000}"/>
    <cellStyle name="Currency 92" xfId="268" xr:uid="{00000000-0005-0000-0000-0000B2020000}"/>
    <cellStyle name="Currency 92 2" xfId="546" xr:uid="{00000000-0005-0000-0000-0000B3020000}"/>
    <cellStyle name="Currency 92 2 2" xfId="865" xr:uid="{00000000-0005-0000-0000-0000B4020000}"/>
    <cellStyle name="Currency 92 3" xfId="864" xr:uid="{00000000-0005-0000-0000-0000B5020000}"/>
    <cellStyle name="Currency 93" xfId="271" xr:uid="{00000000-0005-0000-0000-0000B6020000}"/>
    <cellStyle name="Currency 93 2" xfId="548" xr:uid="{00000000-0005-0000-0000-0000B7020000}"/>
    <cellStyle name="Currency 93 2 2" xfId="867" xr:uid="{00000000-0005-0000-0000-0000B8020000}"/>
    <cellStyle name="Currency 93 3" xfId="866" xr:uid="{00000000-0005-0000-0000-0000B9020000}"/>
    <cellStyle name="Currency 94" xfId="274" xr:uid="{00000000-0005-0000-0000-0000BA020000}"/>
    <cellStyle name="Currency 94 2" xfId="550" xr:uid="{00000000-0005-0000-0000-0000BB020000}"/>
    <cellStyle name="Currency 94 2 2" xfId="869" xr:uid="{00000000-0005-0000-0000-0000BC020000}"/>
    <cellStyle name="Currency 94 3" xfId="868" xr:uid="{00000000-0005-0000-0000-0000BD020000}"/>
    <cellStyle name="Currency 95" xfId="277" xr:uid="{00000000-0005-0000-0000-0000BE020000}"/>
    <cellStyle name="Currency 95 2" xfId="552" xr:uid="{00000000-0005-0000-0000-0000BF020000}"/>
    <cellStyle name="Currency 95 2 2" xfId="871" xr:uid="{00000000-0005-0000-0000-0000C0020000}"/>
    <cellStyle name="Currency 95 3" xfId="870" xr:uid="{00000000-0005-0000-0000-0000C1020000}"/>
    <cellStyle name="Currency 96" xfId="280" xr:uid="{00000000-0005-0000-0000-0000C2020000}"/>
    <cellStyle name="Currency 96 2" xfId="554" xr:uid="{00000000-0005-0000-0000-0000C3020000}"/>
    <cellStyle name="Currency 96 2 2" xfId="873" xr:uid="{00000000-0005-0000-0000-0000C4020000}"/>
    <cellStyle name="Currency 96 3" xfId="872" xr:uid="{00000000-0005-0000-0000-0000C5020000}"/>
    <cellStyle name="Currency 97" xfId="283" xr:uid="{00000000-0005-0000-0000-0000C6020000}"/>
    <cellStyle name="Currency 97 2" xfId="556" xr:uid="{00000000-0005-0000-0000-0000C7020000}"/>
    <cellStyle name="Currency 97 2 2" xfId="875" xr:uid="{00000000-0005-0000-0000-0000C8020000}"/>
    <cellStyle name="Currency 97 3" xfId="874" xr:uid="{00000000-0005-0000-0000-0000C9020000}"/>
    <cellStyle name="Currency 98" xfId="286" xr:uid="{00000000-0005-0000-0000-0000CA020000}"/>
    <cellStyle name="Currency 98 2" xfId="558" xr:uid="{00000000-0005-0000-0000-0000CB020000}"/>
    <cellStyle name="Currency 98 2 2" xfId="877" xr:uid="{00000000-0005-0000-0000-0000CC020000}"/>
    <cellStyle name="Currency 98 3" xfId="876" xr:uid="{00000000-0005-0000-0000-0000CD020000}"/>
    <cellStyle name="Currency 99" xfId="289" xr:uid="{00000000-0005-0000-0000-0000CE020000}"/>
    <cellStyle name="Currency 99 2" xfId="560" xr:uid="{00000000-0005-0000-0000-0000CF020000}"/>
    <cellStyle name="Currency 99 2 2" xfId="879" xr:uid="{00000000-0005-0000-0000-0000D0020000}"/>
    <cellStyle name="Currency 99 3" xfId="878" xr:uid="{00000000-0005-0000-0000-0000D1020000}"/>
    <cellStyle name="Followed Hyperlink" xfId="951" builtinId="9" hidden="1"/>
    <cellStyle name="Followed Hyperlink" xfId="953" builtinId="9" hidden="1"/>
    <cellStyle name="Followed Hyperlink" xfId="955" builtinId="9" hidden="1"/>
    <cellStyle name="Followed Hyperlink" xfId="957" builtinId="9" hidden="1"/>
    <cellStyle name="Followed Hyperlink" xfId="961" builtinId="9" hidden="1"/>
    <cellStyle name="Followed Hyperlink" xfId="963" builtinId="9" hidden="1"/>
    <cellStyle name="Followed Hyperlink" xfId="965" builtinId="9" hidden="1"/>
    <cellStyle name="Followed Hyperlink" xfId="969" builtinId="9" hidden="1"/>
    <cellStyle name="Followed Hyperlink" xfId="971" builtinId="9" hidden="1"/>
    <cellStyle name="Followed Hyperlink" xfId="959" builtinId="9" hidden="1"/>
    <cellStyle name="Followed Hyperlink" xfId="897" builtinId="9" hidden="1"/>
    <cellStyle name="Followed Hyperlink" xfId="899" builtinId="9" hidden="1"/>
    <cellStyle name="Followed Hyperlink" xfId="901" builtinId="9" hidden="1"/>
    <cellStyle name="Followed Hyperlink" xfId="903" builtinId="9" hidden="1"/>
    <cellStyle name="Followed Hyperlink" xfId="907" builtinId="9" hidden="1"/>
    <cellStyle name="Followed Hyperlink" xfId="909" builtinId="9" hidden="1"/>
    <cellStyle name="Followed Hyperlink" xfId="911" builtinId="9" hidden="1"/>
    <cellStyle name="Followed Hyperlink" xfId="913" builtinId="9" hidden="1"/>
    <cellStyle name="Followed Hyperlink" xfId="915" builtinId="9" hidden="1"/>
    <cellStyle name="Followed Hyperlink" xfId="917" builtinId="9" hidden="1"/>
    <cellStyle name="Followed Hyperlink" xfId="919" builtinId="9" hidden="1"/>
    <cellStyle name="Followed Hyperlink" xfId="636" builtinId="9" hidden="1"/>
    <cellStyle name="Followed Hyperlink" xfId="638" builtinId="9" hidden="1"/>
    <cellStyle name="Followed Hyperlink" xfId="640" builtinId="9" hidden="1"/>
    <cellStyle name="Followed Hyperlink" xfId="889" builtinId="9" hidden="1"/>
    <cellStyle name="Followed Hyperlink" xfId="891" builtinId="9" hidden="1"/>
    <cellStyle name="Followed Hyperlink" xfId="893" builtinId="9" hidden="1"/>
    <cellStyle name="Followed Hyperlink" xfId="630" builtinId="9" hidden="1"/>
    <cellStyle name="Followed Hyperlink" xfId="634" builtinId="9" hidden="1"/>
    <cellStyle name="Followed Hyperlink" xfId="628" builtinId="9" hidden="1"/>
    <cellStyle name="Followed Hyperlink" xfId="626" builtinId="9" hidden="1"/>
    <cellStyle name="Followed Hyperlink" xfId="632" builtinId="9" hidden="1"/>
    <cellStyle name="Followed Hyperlink" xfId="895" builtinId="9" hidden="1"/>
    <cellStyle name="Followed Hyperlink" xfId="905" builtinId="9" hidden="1"/>
    <cellStyle name="Followed Hyperlink" xfId="967" builtinId="9" hidden="1"/>
    <cellStyle name="Followed Hyperlink" xfId="949" builtinId="9" hidden="1"/>
    <cellStyle name="Followed Hyperlink" xfId="1003" builtinId="9" hidden="1"/>
    <cellStyle name="Followed Hyperlink" xfId="1005" builtinId="9" hidden="1"/>
    <cellStyle name="Followed Hyperlink" xfId="1007" builtinId="9" hidden="1"/>
    <cellStyle name="Followed Hyperlink" xfId="1009" builtinId="9" hidden="1"/>
    <cellStyle name="Followed Hyperlink" xfId="1011" builtinId="9" hidden="1"/>
    <cellStyle name="Followed Hyperlink" xfId="1013" builtinId="9" hidden="1"/>
    <cellStyle name="Followed Hyperlink" xfId="1015" builtinId="9" hidden="1"/>
    <cellStyle name="Followed Hyperlink" xfId="1017" builtinId="9" hidden="1"/>
    <cellStyle name="Followed Hyperlink" xfId="1019" builtinId="9" hidden="1"/>
    <cellStyle name="Followed Hyperlink" xfId="1025" builtinId="9" hidden="1"/>
    <cellStyle name="Followed Hyperlink" xfId="1027" builtinId="9" hidden="1"/>
    <cellStyle name="Followed Hyperlink" xfId="1029" builtinId="9" hidden="1"/>
    <cellStyle name="Followed Hyperlink" xfId="1031" builtinId="9" hidden="1"/>
    <cellStyle name="Followed Hyperlink" xfId="1033" builtinId="9" hidden="1"/>
    <cellStyle name="Followed Hyperlink" xfId="1035" builtinId="9" hidden="1"/>
    <cellStyle name="Followed Hyperlink" xfId="1037" builtinId="9" hidden="1"/>
    <cellStyle name="Followed Hyperlink" xfId="1039" builtinId="9" hidden="1"/>
    <cellStyle name="Followed Hyperlink" xfId="1041" builtinId="9" hidden="1"/>
    <cellStyle name="Followed Hyperlink" xfId="1043" builtinId="9" hidden="1"/>
    <cellStyle name="Followed Hyperlink" xfId="1045" builtinId="9" hidden="1"/>
    <cellStyle name="Followed Hyperlink" xfId="1047" builtinId="9" hidden="1"/>
    <cellStyle name="Followed Hyperlink" xfId="1049" builtinId="9" hidden="1"/>
    <cellStyle name="Followed Hyperlink" xfId="1051" builtinId="9" hidden="1"/>
    <cellStyle name="Followed Hyperlink" xfId="1053" builtinId="9" hidden="1"/>
    <cellStyle name="Followed Hyperlink" xfId="1059" builtinId="9" hidden="1"/>
    <cellStyle name="Followed Hyperlink" xfId="1061" builtinId="9" hidden="1"/>
    <cellStyle name="Followed Hyperlink" xfId="1063" builtinId="9" hidden="1"/>
    <cellStyle name="Followed Hyperlink" xfId="1065" builtinId="9" hidden="1"/>
    <cellStyle name="Followed Hyperlink" xfId="1067" builtinId="9" hidden="1"/>
    <cellStyle name="Followed Hyperlink" xfId="1069" builtinId="9" hidden="1"/>
    <cellStyle name="Followed Hyperlink" xfId="1071" builtinId="9" hidden="1"/>
    <cellStyle name="Followed Hyperlink" xfId="1073" builtinId="9" hidden="1"/>
    <cellStyle name="Followed Hyperlink" xfId="1075" builtinId="9" hidden="1"/>
    <cellStyle name="Followed Hyperlink" xfId="1077" builtinId="9" hidden="1"/>
    <cellStyle name="Followed Hyperlink" xfId="1079" builtinId="9" hidden="1"/>
    <cellStyle name="Followed Hyperlink" xfId="1081" builtinId="9" hidden="1"/>
    <cellStyle name="Followed Hyperlink" xfId="1083" builtinId="9" hidden="1"/>
    <cellStyle name="Followed Hyperlink" xfId="1085" builtinId="9" hidden="1"/>
    <cellStyle name="Followed Hyperlink" xfId="1055" builtinId="9" hidden="1"/>
    <cellStyle name="Followed Hyperlink" xfId="991" builtinId="9" hidden="1"/>
    <cellStyle name="Followed Hyperlink" xfId="921" builtinId="9" hidden="1"/>
    <cellStyle name="Followed Hyperlink" xfId="923" builtinId="9" hidden="1"/>
    <cellStyle name="Followed Hyperlink" xfId="925" builtinId="9" hidden="1"/>
    <cellStyle name="Followed Hyperlink" xfId="927" builtinId="9" hidden="1"/>
    <cellStyle name="Followed Hyperlink" xfId="929" builtinId="9" hidden="1"/>
    <cellStyle name="Followed Hyperlink" xfId="931" builtinId="9" hidden="1"/>
    <cellStyle name="Followed Hyperlink" xfId="933" builtinId="9" hidden="1"/>
    <cellStyle name="Followed Hyperlink" xfId="935" builtinId="9" hidden="1"/>
    <cellStyle name="Followed Hyperlink" xfId="937" builtinId="9" hidden="1"/>
    <cellStyle name="Followed Hyperlink" xfId="939" builtinId="9" hidden="1"/>
    <cellStyle name="Followed Hyperlink" xfId="941" builtinId="9" hidden="1"/>
    <cellStyle name="Followed Hyperlink" xfId="943" builtinId="9" hidden="1"/>
    <cellStyle name="Followed Hyperlink" xfId="945" builtinId="9" hidden="1"/>
    <cellStyle name="Followed Hyperlink" xfId="947" builtinId="9" hidden="1"/>
    <cellStyle name="Followed Hyperlink" xfId="1023" builtinId="9" hidden="1"/>
    <cellStyle name="Followed Hyperlink" xfId="1057" builtinId="9" hidden="1"/>
    <cellStyle name="Followed Hyperlink" xfId="1021" builtinId="9" hidden="1"/>
    <cellStyle name="Followed Hyperlink" xfId="1143" builtinId="9" hidden="1"/>
    <cellStyle name="Followed Hyperlink" xfId="1145" builtinId="9" hidden="1"/>
    <cellStyle name="Followed Hyperlink" xfId="1147" builtinId="9" hidden="1"/>
    <cellStyle name="Followed Hyperlink" xfId="1149" builtinId="9" hidden="1"/>
    <cellStyle name="Followed Hyperlink" xfId="1153" builtinId="9" hidden="1"/>
    <cellStyle name="Followed Hyperlink" xfId="1155" builtinId="9" hidden="1"/>
    <cellStyle name="Followed Hyperlink" xfId="1157" builtinId="9" hidden="1"/>
    <cellStyle name="Followed Hyperlink" xfId="1151" builtinId="9" hidden="1"/>
    <cellStyle name="Followed Hyperlink" xfId="1135" builtinId="9" hidden="1"/>
    <cellStyle name="Followed Hyperlink" xfId="1119" builtinId="9" hidden="1"/>
    <cellStyle name="Followed Hyperlink" xfId="1103" builtinId="9" hidden="1"/>
    <cellStyle name="Followed Hyperlink" xfId="1087" builtinId="9" hidden="1"/>
    <cellStyle name="Followed Hyperlink" xfId="973" builtinId="9" hidden="1"/>
    <cellStyle name="Followed Hyperlink" xfId="975" builtinId="9" hidden="1"/>
    <cellStyle name="Followed Hyperlink" xfId="977" builtinId="9" hidden="1"/>
    <cellStyle name="Followed Hyperlink" xfId="979" builtinId="9" hidden="1"/>
    <cellStyle name="Followed Hyperlink" xfId="981" builtinId="9" hidden="1"/>
    <cellStyle name="Followed Hyperlink" xfId="983" builtinId="9" hidden="1"/>
    <cellStyle name="Followed Hyperlink" xfId="985" builtinId="9" hidden="1"/>
    <cellStyle name="Followed Hyperlink" xfId="989" builtinId="9" hidden="1"/>
    <cellStyle name="Followed Hyperlink" xfId="993" builtinId="9" hidden="1"/>
    <cellStyle name="Followed Hyperlink" xfId="995" builtinId="9" hidden="1"/>
    <cellStyle name="Followed Hyperlink" xfId="997" builtinId="9" hidden="1"/>
    <cellStyle name="Followed Hyperlink" xfId="999" builtinId="9" hidden="1"/>
    <cellStyle name="Followed Hyperlink" xfId="1001" builtinId="9" hidden="1"/>
    <cellStyle name="Followed Hyperlink" xfId="987" builtinId="9" hidden="1"/>
    <cellStyle name="Followed Hyperlink" xfId="1115" builtinId="9" hidden="1"/>
    <cellStyle name="Followed Hyperlink" xfId="1117" builtinId="9" hidden="1"/>
    <cellStyle name="Followed Hyperlink" xfId="1121" builtinId="9" hidden="1"/>
    <cellStyle name="Followed Hyperlink" xfId="1123" builtinId="9" hidden="1"/>
    <cellStyle name="Followed Hyperlink" xfId="1125" builtinId="9" hidden="1"/>
    <cellStyle name="Followed Hyperlink" xfId="1127" builtinId="9" hidden="1"/>
    <cellStyle name="Followed Hyperlink" xfId="1129" builtinId="9" hidden="1"/>
    <cellStyle name="Followed Hyperlink" xfId="1131" builtinId="9" hidden="1"/>
    <cellStyle name="Followed Hyperlink" xfId="1133" builtinId="9" hidden="1"/>
    <cellStyle name="Followed Hyperlink" xfId="1137" builtinId="9" hidden="1"/>
    <cellStyle name="Followed Hyperlink" xfId="1139" builtinId="9" hidden="1"/>
    <cellStyle name="Followed Hyperlink" xfId="1141" builtinId="9" hidden="1"/>
    <cellStyle name="Followed Hyperlink" xfId="1113" builtinId="9" hidden="1"/>
    <cellStyle name="Followed Hyperlink" xfId="1099" builtinId="9" hidden="1"/>
    <cellStyle name="Followed Hyperlink" xfId="1101" builtinId="9" hidden="1"/>
    <cellStyle name="Followed Hyperlink" xfId="1105" builtinId="9" hidden="1"/>
    <cellStyle name="Followed Hyperlink" xfId="1107" builtinId="9" hidden="1"/>
    <cellStyle name="Followed Hyperlink" xfId="1109" builtinId="9" hidden="1"/>
    <cellStyle name="Followed Hyperlink" xfId="1111" builtinId="9" hidden="1"/>
    <cellStyle name="Followed Hyperlink" xfId="1093" builtinId="9" hidden="1"/>
    <cellStyle name="Followed Hyperlink" xfId="1095" builtinId="9" hidden="1"/>
    <cellStyle name="Followed Hyperlink" xfId="1097" builtinId="9" hidden="1"/>
    <cellStyle name="Followed Hyperlink" xfId="1091" builtinId="9" hidden="1"/>
    <cellStyle name="Followed Hyperlink" xfId="1089" builtinId="9" hidden="1"/>
    <cellStyle name="Hyperlink" xfId="639" builtinId="8" hidden="1"/>
    <cellStyle name="Hyperlink" xfId="888" builtinId="8" hidden="1"/>
    <cellStyle name="Hyperlink" xfId="890" builtinId="8" hidden="1"/>
    <cellStyle name="Hyperlink" xfId="892" builtinId="8" hidden="1"/>
    <cellStyle name="Hyperlink" xfId="894" builtinId="8" hidden="1"/>
    <cellStyle name="Hyperlink" xfId="898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27" builtinId="8" hidden="1"/>
    <cellStyle name="Hyperlink" xfId="629" builtinId="8" hidden="1"/>
    <cellStyle name="Hyperlink" xfId="625" builtinId="8" hidden="1"/>
    <cellStyle name="Hyperlink" xfId="896" builtinId="8" hidden="1"/>
    <cellStyle name="Hyperlink" xfId="1090" builtinId="8" hidden="1"/>
    <cellStyle name="Hyperlink" xfId="1092" builtinId="8" hidden="1"/>
    <cellStyle name="Hyperlink" xfId="1094" builtinId="8" hidden="1"/>
    <cellStyle name="Hyperlink" xfId="1096" builtinId="8" hidden="1"/>
    <cellStyle name="Hyperlink" xfId="1098" builtinId="8" hidden="1"/>
    <cellStyle name="Hyperlink" xfId="1100" builtinId="8" hidden="1"/>
    <cellStyle name="Hyperlink" xfId="1102" builtinId="8" hidden="1"/>
    <cellStyle name="Hyperlink" xfId="1104" builtinId="8" hidden="1"/>
    <cellStyle name="Hyperlink" xfId="1106" builtinId="8" hidden="1"/>
    <cellStyle name="Hyperlink" xfId="1110" builtinId="8" hidden="1"/>
    <cellStyle name="Hyperlink" xfId="1114" builtinId="8" hidden="1"/>
    <cellStyle name="Hyperlink" xfId="1116" builtinId="8" hidden="1"/>
    <cellStyle name="Hyperlink" xfId="1118" builtinId="8" hidden="1"/>
    <cellStyle name="Hyperlink" xfId="1120" builtinId="8" hidden="1"/>
    <cellStyle name="Hyperlink" xfId="1122" builtinId="8" hidden="1"/>
    <cellStyle name="Hyperlink" xfId="1124" builtinId="8" hidden="1"/>
    <cellStyle name="Hyperlink" xfId="1126" builtinId="8" hidden="1"/>
    <cellStyle name="Hyperlink" xfId="1128" builtinId="8" hidden="1"/>
    <cellStyle name="Hyperlink" xfId="1108" builtinId="8" hidden="1"/>
    <cellStyle name="Hyperlink" xfId="1076" builtinId="8" hidden="1"/>
    <cellStyle name="Hyperlink" xfId="1044" builtinId="8" hidden="1"/>
    <cellStyle name="Hyperlink" xfId="1012" builtinId="8" hidden="1"/>
    <cellStyle name="Hyperlink" xfId="930" builtinId="8" hidden="1"/>
    <cellStyle name="Hyperlink" xfId="932" builtinId="8" hidden="1"/>
    <cellStyle name="Hyperlink" xfId="934" builtinId="8" hidden="1"/>
    <cellStyle name="Hyperlink" xfId="938" builtinId="8" hidden="1"/>
    <cellStyle name="Hyperlink" xfId="940" builtinId="8" hidden="1"/>
    <cellStyle name="Hyperlink" xfId="942" builtinId="8" hidden="1"/>
    <cellStyle name="Hyperlink" xfId="944" builtinId="8" hidden="1"/>
    <cellStyle name="Hyperlink" xfId="946" builtinId="8" hidden="1"/>
    <cellStyle name="Hyperlink" xfId="948" builtinId="8" hidden="1"/>
    <cellStyle name="Hyperlink" xfId="950" builtinId="8" hidden="1"/>
    <cellStyle name="Hyperlink" xfId="952" builtinId="8" hidden="1"/>
    <cellStyle name="Hyperlink" xfId="954" builtinId="8" hidden="1"/>
    <cellStyle name="Hyperlink" xfId="956" builtinId="8" hidden="1"/>
    <cellStyle name="Hyperlink" xfId="958" builtinId="8" hidden="1"/>
    <cellStyle name="Hyperlink" xfId="960" builtinId="8" hidden="1"/>
    <cellStyle name="Hyperlink" xfId="962" builtinId="8" hidden="1"/>
    <cellStyle name="Hyperlink" xfId="964" builtinId="8" hidden="1"/>
    <cellStyle name="Hyperlink" xfId="966" builtinId="8" hidden="1"/>
    <cellStyle name="Hyperlink" xfId="970" builtinId="8" hidden="1"/>
    <cellStyle name="Hyperlink" xfId="972" builtinId="8" hidden="1"/>
    <cellStyle name="Hyperlink" xfId="974" builtinId="8" hidden="1"/>
    <cellStyle name="Hyperlink" xfId="976" builtinId="8" hidden="1"/>
    <cellStyle name="Hyperlink" xfId="978" builtinId="8" hidden="1"/>
    <cellStyle name="Hyperlink" xfId="982" builtinId="8" hidden="1"/>
    <cellStyle name="Hyperlink" xfId="984" builtinId="8" hidden="1"/>
    <cellStyle name="Hyperlink" xfId="986" builtinId="8" hidden="1"/>
    <cellStyle name="Hyperlink" xfId="988" builtinId="8" hidden="1"/>
    <cellStyle name="Hyperlink" xfId="990" builtinId="8" hidden="1"/>
    <cellStyle name="Hyperlink" xfId="980" builtinId="8" hidden="1"/>
    <cellStyle name="Hyperlink" xfId="900" builtinId="8" hidden="1"/>
    <cellStyle name="Hyperlink" xfId="902" builtinId="8" hidden="1"/>
    <cellStyle name="Hyperlink" xfId="904" builtinId="8" hidden="1"/>
    <cellStyle name="Hyperlink" xfId="906" builtinId="8" hidden="1"/>
    <cellStyle name="Hyperlink" xfId="910" builtinId="8" hidden="1"/>
    <cellStyle name="Hyperlink" xfId="912" builtinId="8" hidden="1"/>
    <cellStyle name="Hyperlink" xfId="914" builtinId="8" hidden="1"/>
    <cellStyle name="Hyperlink" xfId="916" builtinId="8" hidden="1"/>
    <cellStyle name="Hyperlink" xfId="918" builtinId="8" hidden="1"/>
    <cellStyle name="Hyperlink" xfId="920" builtinId="8" hidden="1"/>
    <cellStyle name="Hyperlink" xfId="922" builtinId="8" hidden="1"/>
    <cellStyle name="Hyperlink" xfId="924" builtinId="8" hidden="1"/>
    <cellStyle name="Hyperlink" xfId="926" builtinId="8" hidden="1"/>
    <cellStyle name="Hyperlink" xfId="928" builtinId="8" hidden="1"/>
    <cellStyle name="Hyperlink" xfId="908" builtinId="8" hidden="1"/>
    <cellStyle name="Hyperlink" xfId="968" builtinId="8" hidden="1"/>
    <cellStyle name="Hyperlink" xfId="936" builtinId="8" hidden="1"/>
    <cellStyle name="Hyperlink" xfId="1112" builtinId="8" hidden="1"/>
    <cellStyle name="Hyperlink" xfId="1024" builtinId="8" hidden="1"/>
    <cellStyle name="Hyperlink" xfId="1026" builtinId="8" hidden="1"/>
    <cellStyle name="Hyperlink" xfId="1028" builtinId="8" hidden="1"/>
    <cellStyle name="Hyperlink" xfId="1030" builtinId="8" hidden="1"/>
    <cellStyle name="Hyperlink" xfId="1032" builtinId="8" hidden="1"/>
    <cellStyle name="Hyperlink" xfId="1034" builtinId="8" hidden="1"/>
    <cellStyle name="Hyperlink" xfId="1036" builtinId="8" hidden="1"/>
    <cellStyle name="Hyperlink" xfId="1038" builtinId="8" hidden="1"/>
    <cellStyle name="Hyperlink" xfId="1040" builtinId="8" hidden="1"/>
    <cellStyle name="Hyperlink" xfId="1042" builtinId="8" hidden="1"/>
    <cellStyle name="Hyperlink" xfId="1046" builtinId="8" hidden="1"/>
    <cellStyle name="Hyperlink" xfId="1048" builtinId="8" hidden="1"/>
    <cellStyle name="Hyperlink" xfId="1050" builtinId="8" hidden="1"/>
    <cellStyle name="Hyperlink" xfId="1052" builtinId="8" hidden="1"/>
    <cellStyle name="Hyperlink" xfId="1054" builtinId="8" hidden="1"/>
    <cellStyle name="Hyperlink" xfId="1056" builtinId="8" hidden="1"/>
    <cellStyle name="Hyperlink" xfId="1058" builtinId="8" hidden="1"/>
    <cellStyle name="Hyperlink" xfId="1060" builtinId="8" hidden="1"/>
    <cellStyle name="Hyperlink" xfId="1062" builtinId="8" hidden="1"/>
    <cellStyle name="Hyperlink" xfId="1064" builtinId="8" hidden="1"/>
    <cellStyle name="Hyperlink" xfId="1066" builtinId="8" hidden="1"/>
    <cellStyle name="Hyperlink" xfId="1068" builtinId="8" hidden="1"/>
    <cellStyle name="Hyperlink" xfId="1070" builtinId="8" hidden="1"/>
    <cellStyle name="Hyperlink" xfId="1072" builtinId="8" hidden="1"/>
    <cellStyle name="Hyperlink" xfId="1074" builtinId="8" hidden="1"/>
    <cellStyle name="Hyperlink" xfId="1080" builtinId="8" hidden="1"/>
    <cellStyle name="Hyperlink" xfId="1082" builtinId="8" hidden="1"/>
    <cellStyle name="Hyperlink" xfId="1084" builtinId="8" hidden="1"/>
    <cellStyle name="Hyperlink" xfId="1086" builtinId="8" hidden="1"/>
    <cellStyle name="Hyperlink" xfId="1088" builtinId="8" hidden="1"/>
    <cellStyle name="Hyperlink" xfId="1078" builtinId="8" hidden="1"/>
    <cellStyle name="Hyperlink" xfId="992" builtinId="8" hidden="1"/>
    <cellStyle name="Hyperlink" xfId="994" builtinId="8" hidden="1"/>
    <cellStyle name="Hyperlink" xfId="996" builtinId="8" hidden="1"/>
    <cellStyle name="Hyperlink" xfId="998" builtinId="8" hidden="1"/>
    <cellStyle name="Hyperlink" xfId="1000" builtinId="8" hidden="1"/>
    <cellStyle name="Hyperlink" xfId="1002" builtinId="8" hidden="1"/>
    <cellStyle name="Hyperlink" xfId="1004" builtinId="8" hidden="1"/>
    <cellStyle name="Hyperlink" xfId="1006" builtinId="8" hidden="1"/>
    <cellStyle name="Hyperlink" xfId="1008" builtinId="8" hidden="1"/>
    <cellStyle name="Hyperlink" xfId="1010" builtinId="8" hidden="1"/>
    <cellStyle name="Hyperlink" xfId="1014" builtinId="8" hidden="1"/>
    <cellStyle name="Hyperlink" xfId="1016" builtinId="8" hidden="1"/>
    <cellStyle name="Hyperlink" xfId="1018" builtinId="8" hidden="1"/>
    <cellStyle name="Hyperlink" xfId="1020" builtinId="8" hidden="1"/>
    <cellStyle name="Hyperlink" xfId="1022" builtinId="8" hidden="1"/>
    <cellStyle name="Hyperlink" xfId="1146" builtinId="8" hidden="1"/>
    <cellStyle name="Hyperlink" xfId="1148" builtinId="8" hidden="1"/>
    <cellStyle name="Hyperlink" xfId="1150" builtinId="8" hidden="1"/>
    <cellStyle name="Hyperlink" xfId="1152" builtinId="8" hidden="1"/>
    <cellStyle name="Hyperlink" xfId="1154" builtinId="8" hidden="1"/>
    <cellStyle name="Hyperlink" xfId="1156" builtinId="8" hidden="1"/>
    <cellStyle name="Hyperlink" xfId="1140" builtinId="8" hidden="1"/>
    <cellStyle name="Hyperlink" xfId="1136" builtinId="8" hidden="1"/>
    <cellStyle name="Hyperlink" xfId="1138" builtinId="8" hidden="1"/>
    <cellStyle name="Hyperlink" xfId="1142" builtinId="8" hidden="1"/>
    <cellStyle name="Hyperlink" xfId="1144" builtinId="8" hidden="1"/>
    <cellStyle name="Hyperlink" xfId="1132" builtinId="8" hidden="1"/>
    <cellStyle name="Hyperlink" xfId="1134" builtinId="8" hidden="1"/>
    <cellStyle name="Hyperlink" xfId="1130" builtinId="8" hidden="1"/>
    <cellStyle name="Millares 2" xfId="363" xr:uid="{00000000-0005-0000-0000-0000F1030000}"/>
    <cellStyle name="Millares 2 2" xfId="613" xr:uid="{00000000-0005-0000-0000-0000F2030000}"/>
    <cellStyle name="Normal" xfId="0" builtinId="0"/>
    <cellStyle name="Normal 2" xfId="360" xr:uid="{00000000-0005-0000-0000-0000F5030000}"/>
    <cellStyle name="Normal 2 10" xfId="27" xr:uid="{00000000-0005-0000-0000-0000F6030000}"/>
    <cellStyle name="Normal 2 100" xfId="294" xr:uid="{00000000-0005-0000-0000-0000F7030000}"/>
    <cellStyle name="Normal 2 101" xfId="297" xr:uid="{00000000-0005-0000-0000-0000F8030000}"/>
    <cellStyle name="Normal 2 102" xfId="300" xr:uid="{00000000-0005-0000-0000-0000F9030000}"/>
    <cellStyle name="Normal 2 103" xfId="303" xr:uid="{00000000-0005-0000-0000-0000FA030000}"/>
    <cellStyle name="Normal 2 104" xfId="306" xr:uid="{00000000-0005-0000-0000-0000FB030000}"/>
    <cellStyle name="Normal 2 105" xfId="309" xr:uid="{00000000-0005-0000-0000-0000FC030000}"/>
    <cellStyle name="Normal 2 106" xfId="312" xr:uid="{00000000-0005-0000-0000-0000FD030000}"/>
    <cellStyle name="Normal 2 107" xfId="315" xr:uid="{00000000-0005-0000-0000-0000FE030000}"/>
    <cellStyle name="Normal 2 108" xfId="318" xr:uid="{00000000-0005-0000-0000-0000FF030000}"/>
    <cellStyle name="Normal 2 109" xfId="321" xr:uid="{00000000-0005-0000-0000-000000040000}"/>
    <cellStyle name="Normal 2 11" xfId="30" xr:uid="{00000000-0005-0000-0000-000001040000}"/>
    <cellStyle name="Normal 2 110" xfId="324" xr:uid="{00000000-0005-0000-0000-000002040000}"/>
    <cellStyle name="Normal 2 111" xfId="327" xr:uid="{00000000-0005-0000-0000-000003040000}"/>
    <cellStyle name="Normal 2 112" xfId="330" xr:uid="{00000000-0005-0000-0000-000004040000}"/>
    <cellStyle name="Normal 2 113" xfId="333" xr:uid="{00000000-0005-0000-0000-000005040000}"/>
    <cellStyle name="Normal 2 114" xfId="336" xr:uid="{00000000-0005-0000-0000-000006040000}"/>
    <cellStyle name="Normal 2 115" xfId="339" xr:uid="{00000000-0005-0000-0000-000007040000}"/>
    <cellStyle name="Normal 2 116" xfId="342" xr:uid="{00000000-0005-0000-0000-000008040000}"/>
    <cellStyle name="Normal 2 117" xfId="345" xr:uid="{00000000-0005-0000-0000-000009040000}"/>
    <cellStyle name="Normal 2 118" xfId="348" xr:uid="{00000000-0005-0000-0000-00000A040000}"/>
    <cellStyle name="Normal 2 119" xfId="351" xr:uid="{00000000-0005-0000-0000-00000B040000}"/>
    <cellStyle name="Normal 2 12" xfId="33" xr:uid="{00000000-0005-0000-0000-00000C040000}"/>
    <cellStyle name="Normal 2 120" xfId="354" xr:uid="{00000000-0005-0000-0000-00000D040000}"/>
    <cellStyle name="Normal 2 121" xfId="610" xr:uid="{00000000-0005-0000-0000-00000E040000}"/>
    <cellStyle name="Normal 2 122" xfId="624" xr:uid="{00000000-0005-0000-0000-00000F040000}"/>
    <cellStyle name="Normal 2 13" xfId="36" xr:uid="{00000000-0005-0000-0000-000010040000}"/>
    <cellStyle name="Normal 2 14" xfId="39" xr:uid="{00000000-0005-0000-0000-000011040000}"/>
    <cellStyle name="Normal 2 15" xfId="42" xr:uid="{00000000-0005-0000-0000-000012040000}"/>
    <cellStyle name="Normal 2 16" xfId="45" xr:uid="{00000000-0005-0000-0000-000013040000}"/>
    <cellStyle name="Normal 2 17" xfId="48" xr:uid="{00000000-0005-0000-0000-000014040000}"/>
    <cellStyle name="Normal 2 18" xfId="51" xr:uid="{00000000-0005-0000-0000-000015040000}"/>
    <cellStyle name="Normal 2 19" xfId="54" xr:uid="{00000000-0005-0000-0000-000016040000}"/>
    <cellStyle name="Normal 2 2" xfId="3" xr:uid="{00000000-0005-0000-0000-000017040000}"/>
    <cellStyle name="Normal 2 20" xfId="57" xr:uid="{00000000-0005-0000-0000-000018040000}"/>
    <cellStyle name="Normal 2 21" xfId="60" xr:uid="{00000000-0005-0000-0000-000019040000}"/>
    <cellStyle name="Normal 2 22" xfId="63" xr:uid="{00000000-0005-0000-0000-00001A040000}"/>
    <cellStyle name="Normal 2 23" xfId="66" xr:uid="{00000000-0005-0000-0000-00001B040000}"/>
    <cellStyle name="Normal 2 24" xfId="69" xr:uid="{00000000-0005-0000-0000-00001C040000}"/>
    <cellStyle name="Normal 2 25" xfId="72" xr:uid="{00000000-0005-0000-0000-00001D040000}"/>
    <cellStyle name="Normal 2 26" xfId="75" xr:uid="{00000000-0005-0000-0000-00001E040000}"/>
    <cellStyle name="Normal 2 27" xfId="78" xr:uid="{00000000-0005-0000-0000-00001F040000}"/>
    <cellStyle name="Normal 2 28" xfId="81" xr:uid="{00000000-0005-0000-0000-000020040000}"/>
    <cellStyle name="Normal 2 29" xfId="84" xr:uid="{00000000-0005-0000-0000-000021040000}"/>
    <cellStyle name="Normal 2 3" xfId="6" xr:uid="{00000000-0005-0000-0000-000022040000}"/>
    <cellStyle name="Normal 2 30" xfId="87" xr:uid="{00000000-0005-0000-0000-000023040000}"/>
    <cellStyle name="Normal 2 31" xfId="90" xr:uid="{00000000-0005-0000-0000-000024040000}"/>
    <cellStyle name="Normal 2 32" xfId="93" xr:uid="{00000000-0005-0000-0000-000025040000}"/>
    <cellStyle name="Normal 2 33" xfId="96" xr:uid="{00000000-0005-0000-0000-000026040000}"/>
    <cellStyle name="Normal 2 34" xfId="99" xr:uid="{00000000-0005-0000-0000-000027040000}"/>
    <cellStyle name="Normal 2 35" xfId="102" xr:uid="{00000000-0005-0000-0000-000028040000}"/>
    <cellStyle name="Normal 2 36" xfId="105" xr:uid="{00000000-0005-0000-0000-000029040000}"/>
    <cellStyle name="Normal 2 37" xfId="108" xr:uid="{00000000-0005-0000-0000-00002A040000}"/>
    <cellStyle name="Normal 2 38" xfId="111" xr:uid="{00000000-0005-0000-0000-00002B040000}"/>
    <cellStyle name="Normal 2 39" xfId="114" xr:uid="{00000000-0005-0000-0000-00002C040000}"/>
    <cellStyle name="Normal 2 4" xfId="9" xr:uid="{00000000-0005-0000-0000-00002D040000}"/>
    <cellStyle name="Normal 2 40" xfId="117" xr:uid="{00000000-0005-0000-0000-00002E040000}"/>
    <cellStyle name="Normal 2 41" xfId="120" xr:uid="{00000000-0005-0000-0000-00002F040000}"/>
    <cellStyle name="Normal 2 42" xfId="123" xr:uid="{00000000-0005-0000-0000-000030040000}"/>
    <cellStyle name="Normal 2 43" xfId="126" xr:uid="{00000000-0005-0000-0000-000031040000}"/>
    <cellStyle name="Normal 2 44" xfId="129" xr:uid="{00000000-0005-0000-0000-000032040000}"/>
    <cellStyle name="Normal 2 45" xfId="132" xr:uid="{00000000-0005-0000-0000-000033040000}"/>
    <cellStyle name="Normal 2 46" xfId="135" xr:uid="{00000000-0005-0000-0000-000034040000}"/>
    <cellStyle name="Normal 2 47" xfId="138" xr:uid="{00000000-0005-0000-0000-000035040000}"/>
    <cellStyle name="Normal 2 48" xfId="141" xr:uid="{00000000-0005-0000-0000-000036040000}"/>
    <cellStyle name="Normal 2 49" xfId="144" xr:uid="{00000000-0005-0000-0000-000037040000}"/>
    <cellStyle name="Normal 2 5" xfId="12" xr:uid="{00000000-0005-0000-0000-000038040000}"/>
    <cellStyle name="Normal 2 50" xfId="147" xr:uid="{00000000-0005-0000-0000-000039040000}"/>
    <cellStyle name="Normal 2 51" xfId="150" xr:uid="{00000000-0005-0000-0000-00003A040000}"/>
    <cellStyle name="Normal 2 52" xfId="153" xr:uid="{00000000-0005-0000-0000-00003B040000}"/>
    <cellStyle name="Normal 2 53" xfId="155" xr:uid="{00000000-0005-0000-0000-00003C040000}"/>
    <cellStyle name="Normal 2 54" xfId="157" xr:uid="{00000000-0005-0000-0000-00003D040000}"/>
    <cellStyle name="Normal 2 55" xfId="160" xr:uid="{00000000-0005-0000-0000-00003E040000}"/>
    <cellStyle name="Normal 2 56" xfId="163" xr:uid="{00000000-0005-0000-0000-00003F040000}"/>
    <cellStyle name="Normal 2 57" xfId="166" xr:uid="{00000000-0005-0000-0000-000040040000}"/>
    <cellStyle name="Normal 2 58" xfId="169" xr:uid="{00000000-0005-0000-0000-000041040000}"/>
    <cellStyle name="Normal 2 59" xfId="172" xr:uid="{00000000-0005-0000-0000-000042040000}"/>
    <cellStyle name="Normal 2 6" xfId="15" xr:uid="{00000000-0005-0000-0000-000043040000}"/>
    <cellStyle name="Normal 2 60" xfId="175" xr:uid="{00000000-0005-0000-0000-000044040000}"/>
    <cellStyle name="Normal 2 61" xfId="178" xr:uid="{00000000-0005-0000-0000-000045040000}"/>
    <cellStyle name="Normal 2 62" xfId="181" xr:uid="{00000000-0005-0000-0000-000046040000}"/>
    <cellStyle name="Normal 2 63" xfId="184" xr:uid="{00000000-0005-0000-0000-000047040000}"/>
    <cellStyle name="Normal 2 64" xfId="187" xr:uid="{00000000-0005-0000-0000-000048040000}"/>
    <cellStyle name="Normal 2 65" xfId="189" xr:uid="{00000000-0005-0000-0000-000049040000}"/>
    <cellStyle name="Normal 2 66" xfId="192" xr:uid="{00000000-0005-0000-0000-00004A040000}"/>
    <cellStyle name="Normal 2 67" xfId="195" xr:uid="{00000000-0005-0000-0000-00004B040000}"/>
    <cellStyle name="Normal 2 68" xfId="198" xr:uid="{00000000-0005-0000-0000-00004C040000}"/>
    <cellStyle name="Normal 2 69" xfId="201" xr:uid="{00000000-0005-0000-0000-00004D040000}"/>
    <cellStyle name="Normal 2 7" xfId="18" xr:uid="{00000000-0005-0000-0000-00004E040000}"/>
    <cellStyle name="Normal 2 70" xfId="204" xr:uid="{00000000-0005-0000-0000-00004F040000}"/>
    <cellStyle name="Normal 2 71" xfId="207" xr:uid="{00000000-0005-0000-0000-000050040000}"/>
    <cellStyle name="Normal 2 72" xfId="210" xr:uid="{00000000-0005-0000-0000-000051040000}"/>
    <cellStyle name="Normal 2 73" xfId="213" xr:uid="{00000000-0005-0000-0000-000052040000}"/>
    <cellStyle name="Normal 2 74" xfId="216" xr:uid="{00000000-0005-0000-0000-000053040000}"/>
    <cellStyle name="Normal 2 75" xfId="219" xr:uid="{00000000-0005-0000-0000-000054040000}"/>
    <cellStyle name="Normal 2 76" xfId="222" xr:uid="{00000000-0005-0000-0000-000055040000}"/>
    <cellStyle name="Normal 2 77" xfId="225" xr:uid="{00000000-0005-0000-0000-000056040000}"/>
    <cellStyle name="Normal 2 78" xfId="228" xr:uid="{00000000-0005-0000-0000-000057040000}"/>
    <cellStyle name="Normal 2 79" xfId="231" xr:uid="{00000000-0005-0000-0000-000058040000}"/>
    <cellStyle name="Normal 2 8" xfId="21" xr:uid="{00000000-0005-0000-0000-000059040000}"/>
    <cellStyle name="Normal 2 80" xfId="234" xr:uid="{00000000-0005-0000-0000-00005A040000}"/>
    <cellStyle name="Normal 2 81" xfId="237" xr:uid="{00000000-0005-0000-0000-00005B040000}"/>
    <cellStyle name="Normal 2 82" xfId="240" xr:uid="{00000000-0005-0000-0000-00005C040000}"/>
    <cellStyle name="Normal 2 83" xfId="243" xr:uid="{00000000-0005-0000-0000-00005D040000}"/>
    <cellStyle name="Normal 2 84" xfId="246" xr:uid="{00000000-0005-0000-0000-00005E040000}"/>
    <cellStyle name="Normal 2 85" xfId="249" xr:uid="{00000000-0005-0000-0000-00005F040000}"/>
    <cellStyle name="Normal 2 86" xfId="252" xr:uid="{00000000-0005-0000-0000-000060040000}"/>
    <cellStyle name="Normal 2 87" xfId="255" xr:uid="{00000000-0005-0000-0000-000061040000}"/>
    <cellStyle name="Normal 2 88" xfId="258" xr:uid="{00000000-0005-0000-0000-000062040000}"/>
    <cellStyle name="Normal 2 89" xfId="261" xr:uid="{00000000-0005-0000-0000-000063040000}"/>
    <cellStyle name="Normal 2 9" xfId="24" xr:uid="{00000000-0005-0000-0000-000064040000}"/>
    <cellStyle name="Normal 2 90" xfId="264" xr:uid="{00000000-0005-0000-0000-000065040000}"/>
    <cellStyle name="Normal 2 91" xfId="267" xr:uid="{00000000-0005-0000-0000-000066040000}"/>
    <cellStyle name="Normal 2 92" xfId="270" xr:uid="{00000000-0005-0000-0000-000067040000}"/>
    <cellStyle name="Normal 2 93" xfId="273" xr:uid="{00000000-0005-0000-0000-000068040000}"/>
    <cellStyle name="Normal 2 94" xfId="276" xr:uid="{00000000-0005-0000-0000-000069040000}"/>
    <cellStyle name="Normal 2 95" xfId="279" xr:uid="{00000000-0005-0000-0000-00006A040000}"/>
    <cellStyle name="Normal 2 96" xfId="282" xr:uid="{00000000-0005-0000-0000-00006B040000}"/>
    <cellStyle name="Normal 2 97" xfId="285" xr:uid="{00000000-0005-0000-0000-00006C040000}"/>
    <cellStyle name="Normal 2 98" xfId="288" xr:uid="{00000000-0005-0000-0000-00006D040000}"/>
    <cellStyle name="Normal 2 99" xfId="291" xr:uid="{00000000-0005-0000-0000-00006E040000}"/>
    <cellStyle name="Normal 3" xfId="358" xr:uid="{00000000-0005-0000-0000-00006F040000}"/>
    <cellStyle name="Normal 3 2" xfId="608" xr:uid="{00000000-0005-0000-0000-000070040000}"/>
    <cellStyle name="Normal 3 2 2" xfId="881" xr:uid="{00000000-0005-0000-0000-000071040000}"/>
    <cellStyle name="Normal 3 3" xfId="880" xr:uid="{00000000-0005-0000-0000-000072040000}"/>
    <cellStyle name="Normal 4" xfId="367" xr:uid="{00000000-0005-0000-0000-000073040000}"/>
    <cellStyle name="Normal 4 2" xfId="541" xr:uid="{00000000-0005-0000-0000-000074040000}"/>
    <cellStyle name="Normal 5" xfId="366" xr:uid="{00000000-0005-0000-0000-000075040000}"/>
    <cellStyle name="Normal 5 2" xfId="882" xr:uid="{00000000-0005-0000-0000-000076040000}"/>
    <cellStyle name="Normal 6" xfId="617" xr:uid="{00000000-0005-0000-0000-000077040000}"/>
    <cellStyle name="Normal 6 2" xfId="883" xr:uid="{00000000-0005-0000-0000-000078040000}"/>
    <cellStyle name="Normal 7" xfId="620" xr:uid="{00000000-0005-0000-0000-000079040000}"/>
    <cellStyle name="Normal 7 2" xfId="884" xr:uid="{00000000-0005-0000-0000-00007A040000}"/>
    <cellStyle name="Normal 8" xfId="623" xr:uid="{00000000-0005-0000-0000-00007B040000}"/>
    <cellStyle name="Normal 8 2" xfId="641" xr:uid="{00000000-0005-0000-0000-00007C040000}"/>
    <cellStyle name="Percent" xfId="1159" builtinId="5"/>
    <cellStyle name="Percent 2" xfId="364" xr:uid="{00000000-0005-0000-0000-00007D040000}"/>
    <cellStyle name="Percent 2 2" xfId="614" xr:uid="{00000000-0005-0000-0000-00007E040000}"/>
    <cellStyle name="Percent 3" xfId="365" xr:uid="{00000000-0005-0000-0000-00007F040000}"/>
    <cellStyle name="Percent 3 2" xfId="615" xr:uid="{00000000-0005-0000-0000-000080040000}"/>
    <cellStyle name="Percent 3 2 2" xfId="886" xr:uid="{00000000-0005-0000-0000-000081040000}"/>
    <cellStyle name="Percent 3 3" xfId="885" xr:uid="{00000000-0005-0000-0000-000082040000}"/>
    <cellStyle name="Percent 4" xfId="607" xr:uid="{00000000-0005-0000-0000-000083040000}"/>
    <cellStyle name="Percent 5" xfId="622" xr:uid="{00000000-0005-0000-0000-000084040000}"/>
    <cellStyle name="Percent 5 2" xfId="887" xr:uid="{00000000-0005-0000-0000-000085040000}"/>
  </cellStyles>
  <dxfs count="5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DB3907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DB3907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DB3907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DB3907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9" defaultPivotStyle="PivotStyleLight16"/>
  <colors>
    <mruColors>
      <color rgb="FFDB3907"/>
      <color rgb="FF0079C8"/>
      <color rgb="FF00335B"/>
      <color rgb="FFB1B3B4"/>
      <color rgb="FFAE9962"/>
      <color rgb="FF58595B"/>
      <color rgb="FFE1D9C5"/>
      <color rgb="FFAFF0FF"/>
      <color rgb="FFE0E0E0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fmlaLink="$P$2" lockText="1"/>
</file>

<file path=xl/ctrlProps/ctrlProp3.xml><?xml version="1.0" encoding="utf-8"?>
<formControlPr xmlns="http://schemas.microsoft.com/office/spreadsheetml/2009/9/main" objectType="Drop" dropStyle="combo" dx="15" fmlaLink="$T$19" fmlaRange="$T$11:$T$18" sel="8" val="0"/>
</file>

<file path=xl/ctrlProps/ctrlProp4.xml><?xml version="1.0" encoding="utf-8"?>
<formControlPr xmlns="http://schemas.microsoft.com/office/spreadsheetml/2009/9/main" objectType="Drop" dropStyle="combo" dx="15" fmlaLink="$W$19" fmlaRange="$W$11:$W$12" sel="2" val="0"/>
</file>

<file path=xl/ctrlProps/ctrlProp5.xml><?xml version="1.0" encoding="utf-8"?>
<formControlPr xmlns="http://schemas.microsoft.com/office/spreadsheetml/2009/9/main" objectType="CheckBox" checked="Checked" fmlaLink="$B$1"/>
</file>

<file path=xl/ctrlProps/ctrlProp6.xml><?xml version="1.0" encoding="utf-8"?>
<formControlPr xmlns="http://schemas.microsoft.com/office/spreadsheetml/2009/9/main" objectType="CheckBox" checked="Checked" fmlaLink="$C$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Essential 1000'!A1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hyperlink" Target="#'Resumen tarifas'!A1"/><Relationship Id="rId5" Type="http://schemas.openxmlformats.org/officeDocument/2006/relationships/hyperlink" Target="#'Essential Care (Renovaci&#243;n)'!A1"/><Relationship Id="rId4" Type="http://schemas.openxmlformats.org/officeDocument/2006/relationships/hyperlink" Target="#'Essential 500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INGRESO DE DATOS'!A1"/><Relationship Id="rId2" Type="http://schemas.openxmlformats.org/officeDocument/2006/relationships/image" Target="../media/image4.emf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hyperlink" Target="#'INGRESO DE DATOS'!A1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hyperlink" Target="#'INGRESO DE DATOS'!A1"/><Relationship Id="rId1" Type="http://schemas.openxmlformats.org/officeDocument/2006/relationships/image" Target="../media/image3.png"/><Relationship Id="rId4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'INGRESO DE DATOS'!A1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340178</xdr:colOff>
      <xdr:row>55</xdr:row>
      <xdr:rowOff>136072</xdr:rowOff>
    </xdr:from>
    <xdr:ext cx="184731" cy="266548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40178" y="12652628"/>
          <a:ext cx="184731" cy="2665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200">
            <a:latin typeface="Microsoft Sans Serif" panose="020B0604020202020204" pitchFamily="34" charset="0"/>
            <a:cs typeface="Microsoft Sans Serif" panose="020B0604020202020204" pitchFamily="34" charset="0"/>
          </a:endParaRPr>
        </a:p>
      </xdr:txBody>
    </xdr:sp>
    <xdr:clientData/>
  </xdr:oneCellAnchor>
  <xdr:oneCellAnchor>
    <xdr:from>
      <xdr:col>2</xdr:col>
      <xdr:colOff>968828</xdr:colOff>
      <xdr:row>55</xdr:row>
      <xdr:rowOff>138793</xdr:rowOff>
    </xdr:from>
    <xdr:ext cx="184731" cy="266548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3664050" y="12655349"/>
          <a:ext cx="184731" cy="2665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200" baseline="0">
            <a:latin typeface="Microsoft Sans Serif" panose="020B0604020202020204" pitchFamily="34" charset="0"/>
            <a:cs typeface="Microsoft Sans Serif" panose="020B0604020202020204" pitchFamily="34" charset="0"/>
          </a:endParaRPr>
        </a:p>
      </xdr:txBody>
    </xdr:sp>
    <xdr:clientData/>
  </xdr:oneCellAnchor>
  <xdr:twoCellAnchor editAs="absolute">
    <xdr:from>
      <xdr:col>0</xdr:col>
      <xdr:colOff>0</xdr:colOff>
      <xdr:row>0</xdr:row>
      <xdr:rowOff>0</xdr:rowOff>
    </xdr:from>
    <xdr:to>
      <xdr:col>13</xdr:col>
      <xdr:colOff>13367</xdr:colOff>
      <xdr:row>35</xdr:row>
      <xdr:rowOff>120315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-1" b="25598"/>
        <a:stretch>
          <a:fillRect/>
        </a:stretch>
      </xdr:blipFill>
      <xdr:spPr>
        <a:xfrm>
          <a:off x="0" y="0"/>
          <a:ext cx="20801262" cy="8301789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409223</xdr:colOff>
      <xdr:row>1</xdr:row>
      <xdr:rowOff>141111</xdr:rowOff>
    </xdr:from>
    <xdr:to>
      <xdr:col>1</xdr:col>
      <xdr:colOff>194734</xdr:colOff>
      <xdr:row>5</xdr:row>
      <xdr:rowOff>126091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9223" y="381000"/>
          <a:ext cx="914400" cy="916313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986720</xdr:colOff>
      <xdr:row>10</xdr:row>
      <xdr:rowOff>225777</xdr:rowOff>
    </xdr:from>
    <xdr:to>
      <xdr:col>2</xdr:col>
      <xdr:colOff>1185333</xdr:colOff>
      <xdr:row>26</xdr:row>
      <xdr:rowOff>227705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1072445" y="2525888"/>
          <a:ext cx="3725332" cy="36971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3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Cotización de</a:t>
          </a:r>
        </a:p>
        <a:p>
          <a:r>
            <a:rPr lang="en-US" sz="3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Seguro Médico</a:t>
          </a:r>
        </a:p>
        <a:p>
          <a:r>
            <a:rPr lang="en-US" sz="4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Essential</a:t>
          </a:r>
        </a:p>
        <a:p>
          <a:r>
            <a:rPr lang="en-US" sz="4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2026</a:t>
          </a:r>
        </a:p>
      </xdr:txBody>
    </xdr:sp>
    <xdr:clientData fPrintsWithSheet="0"/>
  </xdr:twoCellAnchor>
  <xdr:twoCellAnchor>
    <xdr:from>
      <xdr:col>6</xdr:col>
      <xdr:colOff>362102</xdr:colOff>
      <xdr:row>38</xdr:row>
      <xdr:rowOff>24091</xdr:rowOff>
    </xdr:from>
    <xdr:to>
      <xdr:col>9</xdr:col>
      <xdr:colOff>648411</xdr:colOff>
      <xdr:row>40</xdr:row>
      <xdr:rowOff>184915</xdr:rowOff>
    </xdr:to>
    <xdr:grpSp>
      <xdr:nvGrpSpPr>
        <xdr:cNvPr id="41" name="Group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/>
      </xdr:nvGrpSpPr>
      <xdr:grpSpPr>
        <a:xfrm>
          <a:off x="10308207" y="8900723"/>
          <a:ext cx="3280836" cy="642087"/>
          <a:chOff x="12875850" y="9956917"/>
          <a:chExt cx="3146778" cy="611455"/>
        </a:xfrm>
      </xdr:grpSpPr>
      <xdr:sp macro="" textlink="">
        <xdr:nvSpPr>
          <xdr:cNvPr id="2" name="TextBox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 txBox="1"/>
        </xdr:nvSpPr>
        <xdr:spPr>
          <a:xfrm>
            <a:off x="12875850" y="9956917"/>
            <a:ext cx="3146778" cy="611455"/>
          </a:xfrm>
          <a:prstGeom prst="rect">
            <a:avLst/>
          </a:prstGeom>
          <a:solidFill>
            <a:schemeClr val="lt1">
              <a:alpha val="85000"/>
            </a:schemeClr>
          </a:solidFill>
          <a:ln w="12700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tIns="91440" bIns="91440" rtlCol="0" anchor="ctr">
            <a:noAutofit/>
          </a:bodyPr>
          <a:lstStyle/>
          <a:p>
            <a:r>
              <a:rPr lang="en-US" sz="1400">
                <a:latin typeface="Arial" panose="020B0604020202020204" pitchFamily="34" charset="0"/>
                <a:cs typeface="Arial" panose="020B0604020202020204" pitchFamily="34" charset="0"/>
              </a:rPr>
              <a:t>Cotización</a:t>
            </a:r>
          </a:p>
          <a:p>
            <a:r>
              <a:rPr lang="en-US" sz="1400">
                <a:latin typeface="Arial" panose="020B0604020202020204" pitchFamily="34" charset="0"/>
                <a:cs typeface="Arial" panose="020B0604020202020204" pitchFamily="34" charset="0"/>
              </a:rPr>
              <a:t>para 24 años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111" name="Check Box 39" descr="24 años" hidden="1">
                <a:extLst>
                  <a:ext uri="{63B3BB69-23CF-44E3-9099-C40C66FF867C}">
                    <a14:compatExt spid="_x0000_s3111"/>
                  </a:ext>
                  <a:ext uri="{FF2B5EF4-FFF2-40B4-BE49-F238E27FC236}">
                    <a16:creationId xmlns:a16="http://schemas.microsoft.com/office/drawing/2014/main" id="{00000000-0008-0000-0000-0000270C0000}"/>
                  </a:ext>
                </a:extLst>
              </xdr:cNvPr>
              <xdr:cNvSpPr/>
            </xdr:nvSpPr>
            <xdr:spPr bwMode="auto">
              <a:xfrm>
                <a:off x="15641623" y="10092544"/>
                <a:ext cx="274320" cy="2808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32</xdr:col>
      <xdr:colOff>438150</xdr:colOff>
      <xdr:row>48</xdr:row>
      <xdr:rowOff>217287</xdr:rowOff>
    </xdr:from>
    <xdr:to>
      <xdr:col>32</xdr:col>
      <xdr:colOff>438150</xdr:colOff>
      <xdr:row>51</xdr:row>
      <xdr:rowOff>143576</xdr:rowOff>
    </xdr:to>
    <xdr:grpSp>
      <xdr:nvGrpSpPr>
        <xdr:cNvPr id="42" name="Group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GrpSpPr/>
      </xdr:nvGrpSpPr>
      <xdr:grpSpPr>
        <a:xfrm>
          <a:off x="25958466" y="11433392"/>
          <a:ext cx="0" cy="621447"/>
          <a:chOff x="11500553" y="9699050"/>
          <a:chExt cx="11245147" cy="2419202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/>
        </xdr:nvSpPr>
        <xdr:spPr>
          <a:xfrm>
            <a:off x="11500553" y="9699050"/>
            <a:ext cx="2610558" cy="597343"/>
          </a:xfrm>
          <a:prstGeom prst="rect">
            <a:avLst/>
          </a:prstGeom>
          <a:solidFill>
            <a:schemeClr val="lt1">
              <a:alpha val="85000"/>
            </a:schemeClr>
          </a:solidFill>
          <a:ln w="12700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tIns="91440" bIns="91440" rtlCol="0" anchor="ctr">
            <a:noAutofit/>
          </a:bodyPr>
          <a:lstStyle/>
          <a:p>
            <a:r>
              <a:rPr lang="en-US" sz="1400">
                <a:latin typeface="Arial" panose="020B0604020202020204" pitchFamily="34" charset="0"/>
                <a:cs typeface="Arial" panose="020B0604020202020204" pitchFamily="34" charset="0"/>
              </a:rPr>
              <a:t>Variante con coaseguro</a:t>
            </a:r>
            <a:br>
              <a:rPr lang="en-US" sz="1400">
                <a:latin typeface="Arial" panose="020B0604020202020204" pitchFamily="34" charset="0"/>
                <a:cs typeface="Arial" panose="020B0604020202020204" pitchFamily="34" charset="0"/>
              </a:rPr>
            </a:br>
            <a:r>
              <a:rPr lang="en-US" sz="1400">
                <a:latin typeface="Arial" panose="020B0604020202020204" pitchFamily="34" charset="0"/>
                <a:cs typeface="Arial" panose="020B0604020202020204" pitchFamily="34" charset="0"/>
              </a:rPr>
              <a:t>fuera del país de residencia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110" name="Check Box 38" hidden="1">
                <a:extLst>
                  <a:ext uri="{63B3BB69-23CF-44E3-9099-C40C66FF867C}">
                    <a14:compatExt spid="_x0000_s3110"/>
                  </a:ext>
                  <a:ext uri="{FF2B5EF4-FFF2-40B4-BE49-F238E27FC236}">
                    <a16:creationId xmlns:a16="http://schemas.microsoft.com/office/drawing/2014/main" id="{00000000-0008-0000-0000-0000260C0000}"/>
                  </a:ext>
                </a:extLst>
              </xdr:cNvPr>
              <xdr:cNvSpPr/>
            </xdr:nvSpPr>
            <xdr:spPr bwMode="auto">
              <a:xfrm>
                <a:off x="22745700" y="11882801"/>
                <a:ext cx="0" cy="23545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10</xdr:col>
      <xdr:colOff>20653</xdr:colOff>
      <xdr:row>38</xdr:row>
      <xdr:rowOff>24078</xdr:rowOff>
    </xdr:from>
    <xdr:to>
      <xdr:col>12</xdr:col>
      <xdr:colOff>1472227</xdr:colOff>
      <xdr:row>41</xdr:row>
      <xdr:rowOff>169233</xdr:rowOff>
    </xdr:to>
    <xdr:grpSp>
      <xdr:nvGrpSpPr>
        <xdr:cNvPr id="44" name="Group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/>
      </xdr:nvGrpSpPr>
      <xdr:grpSpPr>
        <a:xfrm>
          <a:off x="14110969" y="8900710"/>
          <a:ext cx="5823047" cy="853681"/>
          <a:chOff x="15808637" y="8890001"/>
          <a:chExt cx="2775656" cy="818324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117" name="Drop Down 45" hidden="1">
                <a:extLst>
                  <a:ext uri="{63B3BB69-23CF-44E3-9099-C40C66FF867C}">
                    <a14:compatExt spid="_x0000_s3117"/>
                  </a:ext>
                  <a:ext uri="{FF2B5EF4-FFF2-40B4-BE49-F238E27FC236}">
                    <a16:creationId xmlns:a16="http://schemas.microsoft.com/office/drawing/2014/main" id="{00000000-0008-0000-0000-00002D0C0000}"/>
                  </a:ext>
                </a:extLst>
              </xdr:cNvPr>
              <xdr:cNvSpPr/>
            </xdr:nvSpPr>
            <xdr:spPr bwMode="auto">
              <a:xfrm>
                <a:off x="15808637" y="9325934"/>
                <a:ext cx="2775656" cy="382391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43" name="TextBox 4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 txBox="1"/>
        </xdr:nvSpPr>
        <xdr:spPr>
          <a:xfrm>
            <a:off x="15818556" y="8890001"/>
            <a:ext cx="2754088" cy="373460"/>
          </a:xfrm>
          <a:prstGeom prst="rect">
            <a:avLst/>
          </a:prstGeom>
          <a:solidFill>
            <a:schemeClr val="lt1">
              <a:alpha val="85000"/>
            </a:schemeClr>
          </a:solidFill>
          <a:ln w="12700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tIns="91440" bIns="91440" rtlCol="0" anchor="ctr">
            <a:noAutofit/>
          </a:bodyPr>
          <a:lstStyle/>
          <a:p>
            <a:pPr algn="ctr"/>
            <a:r>
              <a:rPr lang="en-US" sz="1200">
                <a:latin typeface="Arial" panose="020B0604020202020204" pitchFamily="34" charset="0"/>
                <a:cs typeface="Arial" panose="020B0604020202020204" pitchFamily="34" charset="0"/>
              </a:rPr>
              <a:t>Selecciona el tipo de cotización</a:t>
            </a:r>
          </a:p>
        </xdr:txBody>
      </xdr:sp>
    </xdr:grpSp>
    <xdr:clientData/>
  </xdr:twoCellAnchor>
  <xdr:twoCellAnchor editAs="absolute">
    <xdr:from>
      <xdr:col>6</xdr:col>
      <xdr:colOff>176232</xdr:colOff>
      <xdr:row>32</xdr:row>
      <xdr:rowOff>214230</xdr:rowOff>
    </xdr:from>
    <xdr:to>
      <xdr:col>9</xdr:col>
      <xdr:colOff>98162</xdr:colOff>
      <xdr:row>34</xdr:row>
      <xdr:rowOff>110114</xdr:rowOff>
    </xdr:to>
    <xdr:sp macro="" textlink="">
      <xdr:nvSpPr>
        <xdr:cNvPr id="3090" name="Oval 1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>
          <a:spLocks noChangeArrowheads="1"/>
        </xdr:cNvSpPr>
      </xdr:nvSpPr>
      <xdr:spPr bwMode="auto">
        <a:xfrm>
          <a:off x="10138310" y="7832513"/>
          <a:ext cx="2923748" cy="356882"/>
        </a:xfrm>
        <a:prstGeom prst="rect">
          <a:avLst/>
        </a:prstGeom>
        <a:solidFill>
          <a:srgbClr val="00335B"/>
        </a:solidFill>
        <a:ln w="12700" algn="ctr">
          <a:solidFill>
            <a:schemeClr val="bg1"/>
          </a:solidFill>
          <a:round/>
          <a:headEnd/>
          <a:tailEnd/>
        </a:ln>
        <a:effectLst/>
      </xdr:spPr>
      <xdr:txBody>
        <a:bodyPr vertOverflow="clip" wrap="squar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FFFFFF"/>
              </a:solidFill>
              <a:latin typeface="Arial" panose="020B0604020202020204" pitchFamily="34" charset="0"/>
              <a:cs typeface="Arial" panose="020B0604020202020204" pitchFamily="34" charset="0"/>
            </a:rPr>
            <a:t>Bupa Essential 1000</a:t>
          </a:r>
        </a:p>
      </xdr:txBody>
    </xdr:sp>
    <xdr:clientData fPrintsWithSheet="0"/>
  </xdr:twoCellAnchor>
  <xdr:twoCellAnchor editAs="absolute">
    <xdr:from>
      <xdr:col>9</xdr:col>
      <xdr:colOff>216149</xdr:colOff>
      <xdr:row>32</xdr:row>
      <xdr:rowOff>214231</xdr:rowOff>
    </xdr:from>
    <xdr:to>
      <xdr:col>11</xdr:col>
      <xdr:colOff>248188</xdr:colOff>
      <xdr:row>34</xdr:row>
      <xdr:rowOff>110115</xdr:rowOff>
    </xdr:to>
    <xdr:sp macro="" textlink="">
      <xdr:nvSpPr>
        <xdr:cNvPr id="3096" name="Oval 2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>
          <a:spLocks noChangeArrowheads="1"/>
        </xdr:cNvSpPr>
      </xdr:nvSpPr>
      <xdr:spPr bwMode="auto">
        <a:xfrm>
          <a:off x="13180045" y="7832514"/>
          <a:ext cx="2753468" cy="356882"/>
        </a:xfrm>
        <a:prstGeom prst="rect">
          <a:avLst/>
        </a:prstGeom>
        <a:solidFill>
          <a:srgbClr val="00335B"/>
        </a:solidFill>
        <a:ln w="12700" algn="ctr">
          <a:solidFill>
            <a:schemeClr val="bg1"/>
          </a:solidFill>
          <a:round/>
          <a:headEnd/>
          <a:tailEnd/>
        </a:ln>
        <a:effectLst/>
      </xdr:spPr>
      <xdr:txBody>
        <a:bodyPr vertOverflow="clip" wrap="squar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FFFFFF"/>
              </a:solidFill>
              <a:latin typeface="Arial" panose="020B0604020202020204" pitchFamily="34" charset="0"/>
              <a:cs typeface="Arial" panose="020B0604020202020204" pitchFamily="34" charset="0"/>
            </a:rPr>
            <a:t>Bupa Essential 500</a:t>
          </a:r>
        </a:p>
      </xdr:txBody>
    </xdr:sp>
    <xdr:clientData fPrintsWithSheet="0"/>
  </xdr:twoCellAnchor>
  <xdr:twoCellAnchor editAs="absolute">
    <xdr:from>
      <xdr:col>4</xdr:col>
      <xdr:colOff>412668</xdr:colOff>
      <xdr:row>33</xdr:row>
      <xdr:rowOff>635</xdr:rowOff>
    </xdr:from>
    <xdr:to>
      <xdr:col>6</xdr:col>
      <xdr:colOff>50332</xdr:colOff>
      <xdr:row>34</xdr:row>
      <xdr:rowOff>126608</xdr:rowOff>
    </xdr:to>
    <xdr:sp macro="" textlink="">
      <xdr:nvSpPr>
        <xdr:cNvPr id="17" name="Oval 1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rrowheads="1"/>
        </xdr:cNvSpPr>
      </xdr:nvSpPr>
      <xdr:spPr bwMode="auto">
        <a:xfrm>
          <a:off x="7240980" y="7849007"/>
          <a:ext cx="2771430" cy="356882"/>
        </a:xfrm>
        <a:prstGeom prst="rect">
          <a:avLst/>
        </a:prstGeom>
        <a:solidFill>
          <a:srgbClr val="00335B"/>
        </a:solidFill>
        <a:ln w="12700" algn="ctr">
          <a:solidFill>
            <a:schemeClr val="bg1"/>
          </a:solidFill>
          <a:round/>
          <a:headEnd/>
          <a:tailEnd/>
        </a:ln>
        <a:effectLst/>
      </xdr:spPr>
      <xdr:txBody>
        <a:bodyPr vertOverflow="clip" wrap="squar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FFFFFF"/>
              </a:solidFill>
              <a:latin typeface="Arial" panose="020B0604020202020204" pitchFamily="34" charset="0"/>
              <a:cs typeface="Arial" panose="020B0604020202020204" pitchFamily="34" charset="0"/>
            </a:rPr>
            <a:t>Bupa Essential Care</a:t>
          </a:r>
        </a:p>
      </xdr:txBody>
    </xdr:sp>
    <xdr:clientData fPrintsWithSheet="0"/>
  </xdr:twoCellAnchor>
  <xdr:twoCellAnchor editAs="absolute">
    <xdr:from>
      <xdr:col>11</xdr:col>
      <xdr:colOff>341050</xdr:colOff>
      <xdr:row>32</xdr:row>
      <xdr:rowOff>210617</xdr:rowOff>
    </xdr:from>
    <xdr:to>
      <xdr:col>11</xdr:col>
      <xdr:colOff>2455871</xdr:colOff>
      <xdr:row>34</xdr:row>
      <xdr:rowOff>106934</xdr:rowOff>
    </xdr:to>
    <xdr:sp macro="" textlink="">
      <xdr:nvSpPr>
        <xdr:cNvPr id="29" name="Text Box 3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6026375" y="7835692"/>
          <a:ext cx="2385327" cy="350523"/>
        </a:xfrm>
        <a:prstGeom prst="rect">
          <a:avLst/>
        </a:prstGeom>
        <a:solidFill>
          <a:srgbClr val="0079C8"/>
        </a:solidFill>
        <a:ln w="12700">
          <a:solidFill>
            <a:srgbClr val="AFF0FF"/>
          </a:solidFill>
          <a:miter lim="800000"/>
          <a:headEnd/>
          <a:tailEnd/>
        </a:ln>
        <a:effectLst/>
      </xdr:spPr>
      <xdr:txBody>
        <a:bodyPr vertOverflow="clip" wrap="squar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VER RESUMEN DE TARIFAS</a:t>
          </a:r>
        </a:p>
      </xdr:txBody>
    </xdr:sp>
    <xdr:clientData fPrintsWithSheet="0"/>
  </xdr:twoCellAnchor>
  <xdr:twoCellAnchor editAs="absolute">
    <xdr:from>
      <xdr:col>10</xdr:col>
      <xdr:colOff>618507</xdr:colOff>
      <xdr:row>6</xdr:row>
      <xdr:rowOff>163039</xdr:rowOff>
    </xdr:from>
    <xdr:to>
      <xdr:col>12</xdr:col>
      <xdr:colOff>349055</xdr:colOff>
      <xdr:row>10</xdr:row>
      <xdr:rowOff>105887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2926786" y="1536123"/>
          <a:ext cx="3502486" cy="833498"/>
        </a:xfrm>
        <a:prstGeom prst="rect">
          <a:avLst/>
        </a:prstGeom>
        <a:noFill/>
        <a:ln w="3810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tIns="91440" bIns="91440" rtlCol="0" anchor="ctr">
          <a:spAutoFit/>
        </a:bodyPr>
        <a:lstStyle/>
        <a:p>
          <a:pPr algn="ctr"/>
          <a:r>
            <a:rPr lang="en-US" sz="4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ECUADOR</a:t>
          </a:r>
        </a:p>
      </xdr:txBody>
    </xdr:sp>
    <xdr:clientData fPrintsWithSheet="0"/>
  </xdr:twoCellAnchor>
  <xdr:twoCellAnchor>
    <xdr:from>
      <xdr:col>3</xdr:col>
      <xdr:colOff>1300344</xdr:colOff>
      <xdr:row>38</xdr:row>
      <xdr:rowOff>24084</xdr:rowOff>
    </xdr:from>
    <xdr:to>
      <xdr:col>5</xdr:col>
      <xdr:colOff>1168809</xdr:colOff>
      <xdr:row>41</xdr:row>
      <xdr:rowOff>179636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6554133" y="8900716"/>
          <a:ext cx="2996676" cy="864078"/>
          <a:chOff x="12608375" y="9031755"/>
          <a:chExt cx="2602182" cy="877241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118" name="Drop Down 46" hidden="1">
                <a:extLst>
                  <a:ext uri="{63B3BB69-23CF-44E3-9099-C40C66FF867C}">
                    <a14:compatExt spid="_x0000_s3118"/>
                  </a:ext>
                  <a:ext uri="{FF2B5EF4-FFF2-40B4-BE49-F238E27FC236}">
                    <a16:creationId xmlns:a16="http://schemas.microsoft.com/office/drawing/2014/main" id="{00000000-0008-0000-0000-00002E0C0000}"/>
                  </a:ext>
                </a:extLst>
              </xdr:cNvPr>
              <xdr:cNvSpPr/>
            </xdr:nvSpPr>
            <xdr:spPr bwMode="auto">
              <a:xfrm>
                <a:off x="12608375" y="9563791"/>
                <a:ext cx="2602182" cy="34520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24" name="TextBox 23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 txBox="1"/>
        </xdr:nvSpPr>
        <xdr:spPr>
          <a:xfrm>
            <a:off x="12611111" y="9031755"/>
            <a:ext cx="2583533" cy="410789"/>
          </a:xfrm>
          <a:prstGeom prst="rect">
            <a:avLst/>
          </a:prstGeom>
          <a:solidFill>
            <a:schemeClr val="lt1">
              <a:alpha val="85000"/>
            </a:schemeClr>
          </a:solidFill>
          <a:ln w="12700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tIns="91440" bIns="91440" rtlCol="0" anchor="ctr">
            <a:noAutofit/>
          </a:bodyPr>
          <a:lstStyle/>
          <a:p>
            <a:pPr algn="ctr"/>
            <a:r>
              <a:rPr lang="en-US" sz="1400">
                <a:latin typeface="Arial" panose="020B0604020202020204" pitchFamily="34" charset="0"/>
                <a:cs typeface="Arial" panose="020B0604020202020204" pitchFamily="34" charset="0"/>
              </a:rPr>
              <a:t>Selecciona la zona</a:t>
            </a:r>
          </a:p>
        </xdr:txBody>
      </xdr:sp>
    </xdr:grpSp>
    <xdr:clientData/>
  </xdr:twoCellAnchor>
  <xdr:oneCellAnchor>
    <xdr:from>
      <xdr:col>13</xdr:col>
      <xdr:colOff>32986</xdr:colOff>
      <xdr:row>35</xdr:row>
      <xdr:rowOff>234869</xdr:rowOff>
    </xdr:from>
    <xdr:ext cx="1707446" cy="2328333"/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 bwMode="auto">
        <a:xfrm>
          <a:off x="18816286" y="8439069"/>
          <a:ext cx="1707446" cy="2328333"/>
        </a:xfrm>
        <a:prstGeom prst="rect">
          <a:avLst/>
        </a:prstGeom>
        <a:solidFill>
          <a:srgbClr val="DB3907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0" tIns="91440" rIns="182880" bIns="91440" rtlCol="0" anchor="ctr" upright="1">
          <a:noAutofit/>
        </a:bodyPr>
        <a:lstStyle/>
        <a:p>
          <a:pPr algn="l"/>
          <a:r>
            <a:rPr lang="en-US" sz="1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NOTA: </a:t>
          </a:r>
          <a:r>
            <a:rPr lang="en-US" sz="14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Selecionar </a:t>
          </a:r>
          <a:r>
            <a:rPr lang="en-US" sz="1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Nuevo Negocio </a:t>
          </a:r>
          <a:r>
            <a:rPr lang="en-US" sz="14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antes de hacer una cotización de póliza de </a:t>
          </a:r>
          <a:r>
            <a:rPr lang="en-US" sz="1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24 años..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20</xdr:row>
      <xdr:rowOff>142875</xdr:rowOff>
    </xdr:from>
    <xdr:to>
      <xdr:col>0</xdr:col>
      <xdr:colOff>2551617</xdr:colOff>
      <xdr:row>22</xdr:row>
      <xdr:rowOff>2476</xdr:rowOff>
    </xdr:to>
    <xdr:grpSp>
      <xdr:nvGrpSpPr>
        <xdr:cNvPr id="10" name="Group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pSpPr/>
      </xdr:nvGrpSpPr>
      <xdr:grpSpPr>
        <a:xfrm>
          <a:off x="38100" y="3978275"/>
          <a:ext cx="2513517" cy="278701"/>
          <a:chOff x="38100" y="3924300"/>
          <a:chExt cx="2513517" cy="269176"/>
        </a:xfrm>
      </xdr:grpSpPr>
      <xdr:sp macro="" textlink="">
        <xdr:nvSpPr>
          <xdr:cNvPr id="2" name="TextBox 1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SpPr txBox="1"/>
        </xdr:nvSpPr>
        <xdr:spPr>
          <a:xfrm>
            <a:off x="254000" y="3924300"/>
            <a:ext cx="2297617" cy="2691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en-US" sz="1200" b="0" i="0">
                <a:latin typeface="Arial" panose="020B0604020202020204" pitchFamily="34" charset="0"/>
                <a:cs typeface="Arial" panose="020B0604020202020204" pitchFamily="34" charset="0"/>
              </a:rPr>
              <a:t>Complicaciones de Maternidad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1" name="Check Box 1" hidden="1">
                <a:extLst>
                  <a:ext uri="{63B3BB69-23CF-44E3-9099-C40C66FF867C}">
                    <a14:compatExt spid="_x0000_s10241"/>
                  </a:ext>
                  <a:ext uri="{FF2B5EF4-FFF2-40B4-BE49-F238E27FC236}">
                    <a16:creationId xmlns:a16="http://schemas.microsoft.com/office/drawing/2014/main" id="{00000000-0008-0000-0100-000001280000}"/>
                  </a:ext>
                </a:extLst>
              </xdr:cNvPr>
              <xdr:cNvSpPr/>
            </xdr:nvSpPr>
            <xdr:spPr bwMode="auto">
              <a:xfrm>
                <a:off x="38100" y="3949700"/>
                <a:ext cx="304800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 editAs="oneCell">
    <xdr:from>
      <xdr:col>0</xdr:col>
      <xdr:colOff>88900</xdr:colOff>
      <xdr:row>0</xdr:row>
      <xdr:rowOff>114300</xdr:rowOff>
    </xdr:from>
    <xdr:to>
      <xdr:col>0</xdr:col>
      <xdr:colOff>2173732</xdr:colOff>
      <xdr:row>3</xdr:row>
      <xdr:rowOff>27940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900" y="114300"/>
          <a:ext cx="2084832" cy="548640"/>
        </a:xfrm>
        <a:prstGeom prst="rect">
          <a:avLst/>
        </a:prstGeom>
      </xdr:spPr>
    </xdr:pic>
    <xdr:clientData/>
  </xdr:twoCellAnchor>
  <xdr:twoCellAnchor>
    <xdr:from>
      <xdr:col>0</xdr:col>
      <xdr:colOff>2921000</xdr:colOff>
      <xdr:row>20</xdr:row>
      <xdr:rowOff>142875</xdr:rowOff>
    </xdr:from>
    <xdr:to>
      <xdr:col>2</xdr:col>
      <xdr:colOff>712024</xdr:colOff>
      <xdr:row>22</xdr:row>
      <xdr:rowOff>2476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pSpPr/>
      </xdr:nvGrpSpPr>
      <xdr:grpSpPr>
        <a:xfrm>
          <a:off x="2921000" y="3978275"/>
          <a:ext cx="2744024" cy="278701"/>
          <a:chOff x="2921001" y="3924300"/>
          <a:chExt cx="2124898" cy="269176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2" name="Check Box 2" hidden="1">
                <a:extLst>
                  <a:ext uri="{63B3BB69-23CF-44E3-9099-C40C66FF867C}">
                    <a14:compatExt spid="_x0000_s10242"/>
                  </a:ext>
                  <a:ext uri="{FF2B5EF4-FFF2-40B4-BE49-F238E27FC236}">
                    <a16:creationId xmlns:a16="http://schemas.microsoft.com/office/drawing/2014/main" id="{00000000-0008-0000-0100-000002280000}"/>
                  </a:ext>
                </a:extLst>
              </xdr:cNvPr>
              <xdr:cNvSpPr/>
            </xdr:nvSpPr>
            <xdr:spPr bwMode="auto">
              <a:xfrm>
                <a:off x="2921001" y="3949700"/>
                <a:ext cx="266701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 txBox="1"/>
        </xdr:nvSpPr>
        <xdr:spPr>
          <a:xfrm>
            <a:off x="3201483" y="3924300"/>
            <a:ext cx="1844416" cy="2691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en-US" sz="1200" b="0" i="0">
                <a:latin typeface="Arial" panose="020B0604020202020204" pitchFamily="34" charset="0"/>
                <a:cs typeface="Arial" panose="020B0604020202020204" pitchFamily="34" charset="0"/>
              </a:rPr>
              <a:t>Transplante de Órganos</a:t>
            </a:r>
          </a:p>
        </xdr:txBody>
      </xdr:sp>
    </xdr:grpSp>
    <xdr:clientData/>
  </xdr:twoCellAnchor>
  <xdr:twoCellAnchor editAs="oneCell">
    <xdr:from>
      <xdr:col>8</xdr:col>
      <xdr:colOff>524934</xdr:colOff>
      <xdr:row>2</xdr:row>
      <xdr:rowOff>169333</xdr:rowOff>
    </xdr:from>
    <xdr:to>
      <xdr:col>19</xdr:col>
      <xdr:colOff>2117</xdr:colOff>
      <xdr:row>50</xdr:row>
      <xdr:rowOff>61383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105467" y="609600"/>
          <a:ext cx="6891867" cy="10312400"/>
        </a:xfrm>
        <a:prstGeom prst="rect">
          <a:avLst/>
        </a:prstGeom>
      </xdr:spPr>
    </xdr:pic>
    <xdr:clientData/>
  </xdr:twoCellAnchor>
  <xdr:oneCellAnchor>
    <xdr:from>
      <xdr:col>5</xdr:col>
      <xdr:colOff>1344041</xdr:colOff>
      <xdr:row>0</xdr:row>
      <xdr:rowOff>148060</xdr:rowOff>
    </xdr:from>
    <xdr:ext cx="1617604" cy="400181"/>
    <xdr:sp macro="[0]!EssentialCarePDF" textlink="">
      <xdr:nvSpPr>
        <xdr:cNvPr id="8" name="Text Box 40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11059541" y="148060"/>
          <a:ext cx="1617604" cy="400181"/>
        </a:xfrm>
        <a:prstGeom prst="roundRect">
          <a:avLst/>
        </a:prstGeom>
        <a:solidFill>
          <a:srgbClr val="0079C8"/>
        </a:solidFill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CONVERTIR A PDF</a:t>
          </a:r>
        </a:p>
      </xdr:txBody>
    </xdr:sp>
    <xdr:clientData fPrintsWithSheet="0"/>
  </xdr:oneCellAnchor>
  <xdr:oneCellAnchor>
    <xdr:from>
      <xdr:col>4</xdr:col>
      <xdr:colOff>944033</xdr:colOff>
      <xdr:row>0</xdr:row>
      <xdr:rowOff>148167</xdr:rowOff>
    </xdr:from>
    <xdr:ext cx="1757214" cy="399968"/>
    <xdr:sp macro="" textlink="">
      <xdr:nvSpPr>
        <xdr:cNvPr id="3" name="Text Box 4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9072033" y="148167"/>
          <a:ext cx="1757214" cy="399968"/>
        </a:xfrm>
        <a:prstGeom prst="roundRect">
          <a:avLst/>
        </a:prstGeom>
        <a:noFill/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rgbClr val="4D4E4C"/>
              </a:solidFill>
              <a:latin typeface="Arial" panose="020B0604020202020204" pitchFamily="34" charset="0"/>
              <a:cs typeface="Arial" panose="020B0604020202020204" pitchFamily="34" charset="0"/>
            </a:rPr>
            <a:t>INGRESO DE DATOS</a:t>
          </a: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81280</xdr:colOff>
      <xdr:row>0</xdr:row>
      <xdr:rowOff>127594</xdr:rowOff>
    </xdr:from>
    <xdr:to>
      <xdr:col>0</xdr:col>
      <xdr:colOff>1818640</xdr:colOff>
      <xdr:row>2</xdr:row>
      <xdr:rowOff>178394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280" y="127594"/>
          <a:ext cx="1737360" cy="457200"/>
        </a:xfrm>
        <a:prstGeom prst="rect">
          <a:avLst/>
        </a:prstGeom>
      </xdr:spPr>
    </xdr:pic>
    <xdr:clientData/>
  </xdr:twoCellAnchor>
  <xdr:oneCellAnchor>
    <xdr:from>
      <xdr:col>6</xdr:col>
      <xdr:colOff>999914</xdr:colOff>
      <xdr:row>0</xdr:row>
      <xdr:rowOff>177376</xdr:rowOff>
    </xdr:from>
    <xdr:ext cx="1757214" cy="399968"/>
    <xdr:sp macro="" textlink="">
      <xdr:nvSpPr>
        <xdr:cNvPr id="3" name="Text Box 4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12294447" y="177376"/>
          <a:ext cx="1757214" cy="399968"/>
        </a:xfrm>
        <a:prstGeom prst="roundRect">
          <a:avLst/>
        </a:prstGeom>
        <a:noFill/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rgbClr val="4D4E4C"/>
              </a:solidFill>
              <a:latin typeface="Arial" panose="020B0604020202020204" pitchFamily="34" charset="0"/>
              <a:cs typeface="Arial" panose="020B0604020202020204" pitchFamily="34" charset="0"/>
            </a:rPr>
            <a:t>INGRESO DE DATOS</a:t>
          </a:r>
        </a:p>
      </xdr:txBody>
    </xdr:sp>
    <xdr:clientData fPrintsWithSheet="0"/>
  </xdr:oneCellAnchor>
  <xdr:oneCellAnchor>
    <xdr:from>
      <xdr:col>7</xdr:col>
      <xdr:colOff>1344888</xdr:colOff>
      <xdr:row>0</xdr:row>
      <xdr:rowOff>181610</xdr:rowOff>
    </xdr:from>
    <xdr:ext cx="1617604" cy="399968"/>
    <xdr:sp macro="[0]!Essential500PDF" textlink="">
      <xdr:nvSpPr>
        <xdr:cNvPr id="4" name="Text Box 40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14231155" y="181610"/>
          <a:ext cx="1617604" cy="399968"/>
        </a:xfrm>
        <a:prstGeom prst="roundRect">
          <a:avLst/>
        </a:prstGeom>
        <a:solidFill>
          <a:srgbClr val="0079C8"/>
        </a:solidFill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CONVERTIR A PDF</a:t>
          </a:r>
        </a:p>
      </xdr:txBody>
    </xdr:sp>
    <xdr:clientData fPrintsWithSheet="0"/>
  </xdr:oneCellAnchor>
  <xdr:twoCellAnchor editAs="oneCell">
    <xdr:from>
      <xdr:col>11</xdr:col>
      <xdr:colOff>135466</xdr:colOff>
      <xdr:row>1</xdr:row>
      <xdr:rowOff>67733</xdr:rowOff>
    </xdr:from>
    <xdr:to>
      <xdr:col>24</xdr:col>
      <xdr:colOff>536442</xdr:colOff>
      <xdr:row>7</xdr:row>
      <xdr:rowOff>117518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026466" y="279400"/>
          <a:ext cx="9206309" cy="1319785"/>
        </a:xfrm>
        <a:prstGeom prst="rect">
          <a:avLst/>
        </a:prstGeom>
      </xdr:spPr>
    </xdr:pic>
    <xdr:clientData/>
  </xdr:twoCellAnchor>
  <xdr:twoCellAnchor editAs="oneCell">
    <xdr:from>
      <xdr:col>11</xdr:col>
      <xdr:colOff>135466</xdr:colOff>
      <xdr:row>8</xdr:row>
      <xdr:rowOff>1</xdr:rowOff>
    </xdr:from>
    <xdr:to>
      <xdr:col>24</xdr:col>
      <xdr:colOff>568632</xdr:colOff>
      <xdr:row>41</xdr:row>
      <xdr:rowOff>42334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86" b="54557"/>
        <a:stretch/>
      </xdr:blipFill>
      <xdr:spPr>
        <a:xfrm>
          <a:off x="17026466" y="1693334"/>
          <a:ext cx="9238499" cy="6582833"/>
        </a:xfrm>
        <a:prstGeom prst="rect">
          <a:avLst/>
        </a:prstGeom>
      </xdr:spPr>
    </xdr:pic>
    <xdr:clientData/>
  </xdr:twoCellAnchor>
  <xdr:twoCellAnchor editAs="oneCell">
    <xdr:from>
      <xdr:col>26</xdr:col>
      <xdr:colOff>110066</xdr:colOff>
      <xdr:row>1</xdr:row>
      <xdr:rowOff>152399</xdr:rowOff>
    </xdr:from>
    <xdr:to>
      <xdr:col>39</xdr:col>
      <xdr:colOff>587032</xdr:colOff>
      <xdr:row>43</xdr:row>
      <xdr:rowOff>148166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5443" b="266"/>
        <a:stretch/>
      </xdr:blipFill>
      <xdr:spPr>
        <a:xfrm>
          <a:off x="27161066" y="364066"/>
          <a:ext cx="9310874" cy="84836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142240</xdr:colOff>
      <xdr:row>0</xdr:row>
      <xdr:rowOff>172720</xdr:rowOff>
    </xdr:from>
    <xdr:to>
      <xdr:col>0</xdr:col>
      <xdr:colOff>1879600</xdr:colOff>
      <xdr:row>3</xdr:row>
      <xdr:rowOff>20320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240" y="172720"/>
          <a:ext cx="1737360" cy="457200"/>
        </a:xfrm>
        <a:prstGeom prst="rect">
          <a:avLst/>
        </a:prstGeom>
      </xdr:spPr>
    </xdr:pic>
    <xdr:clientData/>
  </xdr:twoCellAnchor>
  <xdr:oneCellAnchor>
    <xdr:from>
      <xdr:col>6</xdr:col>
      <xdr:colOff>1128607</xdr:colOff>
      <xdr:row>1</xdr:row>
      <xdr:rowOff>11853</xdr:rowOff>
    </xdr:from>
    <xdr:ext cx="1757214" cy="399968"/>
    <xdr:sp macro="" textlink="">
      <xdr:nvSpPr>
        <xdr:cNvPr id="3" name="Text Box 4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2990407" y="215053"/>
          <a:ext cx="1757214" cy="399968"/>
        </a:xfrm>
        <a:prstGeom prst="roundRect">
          <a:avLst/>
        </a:prstGeom>
        <a:noFill/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rgbClr val="4D4E4C"/>
              </a:solidFill>
              <a:latin typeface="Arial" panose="020B0604020202020204" pitchFamily="34" charset="0"/>
              <a:cs typeface="Arial" panose="020B0604020202020204" pitchFamily="34" charset="0"/>
            </a:rPr>
            <a:t>INGRESO DE DATOS</a:t>
          </a:r>
        </a:p>
      </xdr:txBody>
    </xdr:sp>
    <xdr:clientData fPrintsWithSheet="0"/>
  </xdr:oneCellAnchor>
  <xdr:twoCellAnchor editAs="oneCell">
    <xdr:from>
      <xdr:col>12</xdr:col>
      <xdr:colOff>474133</xdr:colOff>
      <xdr:row>3</xdr:row>
      <xdr:rowOff>67733</xdr:rowOff>
    </xdr:from>
    <xdr:to>
      <xdr:col>25</xdr:col>
      <xdr:colOff>270933</xdr:colOff>
      <xdr:row>9</xdr:row>
      <xdr:rowOff>50799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728266" y="677333"/>
          <a:ext cx="8602134" cy="1202266"/>
        </a:xfrm>
        <a:prstGeom prst="rect">
          <a:avLst/>
        </a:prstGeom>
      </xdr:spPr>
    </xdr:pic>
    <xdr:clientData/>
  </xdr:twoCellAnchor>
  <xdr:twoCellAnchor editAs="oneCell">
    <xdr:from>
      <xdr:col>12</xdr:col>
      <xdr:colOff>406400</xdr:colOff>
      <xdr:row>9</xdr:row>
      <xdr:rowOff>84666</xdr:rowOff>
    </xdr:from>
    <xdr:to>
      <xdr:col>25</xdr:col>
      <xdr:colOff>304799</xdr:colOff>
      <xdr:row>39</xdr:row>
      <xdr:rowOff>224366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57" b="54172"/>
        <a:stretch/>
      </xdr:blipFill>
      <xdr:spPr>
        <a:xfrm>
          <a:off x="18660533" y="1913466"/>
          <a:ext cx="8703733" cy="6112933"/>
        </a:xfrm>
        <a:prstGeom prst="rect">
          <a:avLst/>
        </a:prstGeom>
      </xdr:spPr>
    </xdr:pic>
    <xdr:clientData/>
  </xdr:twoCellAnchor>
  <xdr:twoCellAnchor editAs="oneCell">
    <xdr:from>
      <xdr:col>27</xdr:col>
      <xdr:colOff>372533</xdr:colOff>
      <xdr:row>2</xdr:row>
      <xdr:rowOff>105832</xdr:rowOff>
    </xdr:from>
    <xdr:to>
      <xdr:col>40</xdr:col>
      <xdr:colOff>270932</xdr:colOff>
      <xdr:row>40</xdr:row>
      <xdr:rowOff>220133</xdr:rowOff>
    </xdr:to>
    <xdr:pic>
      <xdr:nvPicPr>
        <xdr:cNvPr id="8" name="Imagen 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5946" b="154"/>
        <a:stretch/>
      </xdr:blipFill>
      <xdr:spPr>
        <a:xfrm>
          <a:off x="28786666" y="512232"/>
          <a:ext cx="8703733" cy="7734301"/>
        </a:xfrm>
        <a:prstGeom prst="rect">
          <a:avLst/>
        </a:prstGeom>
      </xdr:spPr>
    </xdr:pic>
    <xdr:clientData/>
  </xdr:twoCellAnchor>
  <xdr:oneCellAnchor>
    <xdr:from>
      <xdr:col>7</xdr:col>
      <xdr:colOff>1409700</xdr:colOff>
      <xdr:row>1</xdr:row>
      <xdr:rowOff>12700</xdr:rowOff>
    </xdr:from>
    <xdr:ext cx="1617604" cy="400181"/>
    <xdr:sp macro="[0]!Essential1000PDF" textlink="">
      <xdr:nvSpPr>
        <xdr:cNvPr id="5" name="Text Box 40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4859000" y="215900"/>
          <a:ext cx="1617604" cy="400181"/>
        </a:xfrm>
        <a:prstGeom prst="roundRect">
          <a:avLst/>
        </a:prstGeom>
        <a:solidFill>
          <a:srgbClr val="0079C8"/>
        </a:solidFill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CONVERTIR A PDF</a:t>
          </a:r>
        </a:p>
      </xdr:txBody>
    </xdr:sp>
    <xdr:clientData fPrint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162560</xdr:colOff>
      <xdr:row>0</xdr:row>
      <xdr:rowOff>182880</xdr:rowOff>
    </xdr:from>
    <xdr:to>
      <xdr:col>0</xdr:col>
      <xdr:colOff>1899920</xdr:colOff>
      <xdr:row>2</xdr:row>
      <xdr:rowOff>172720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" y="182880"/>
          <a:ext cx="1737360" cy="457200"/>
        </a:xfrm>
        <a:prstGeom prst="rect">
          <a:avLst/>
        </a:prstGeom>
      </xdr:spPr>
    </xdr:pic>
    <xdr:clientData/>
  </xdr:twoCellAnchor>
  <xdr:oneCellAnchor>
    <xdr:from>
      <xdr:col>5</xdr:col>
      <xdr:colOff>922035</xdr:colOff>
      <xdr:row>1</xdr:row>
      <xdr:rowOff>10836</xdr:rowOff>
    </xdr:from>
    <xdr:ext cx="1757214" cy="399968"/>
    <xdr:sp macro="" textlink="">
      <xdr:nvSpPr>
        <xdr:cNvPr id="6" name="Text Box 4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0205735" y="239436"/>
          <a:ext cx="1757214" cy="399968"/>
        </a:xfrm>
        <a:prstGeom prst="roundRect">
          <a:avLst/>
        </a:prstGeom>
        <a:noFill/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rgbClr val="4D4E4C"/>
              </a:solidFill>
              <a:latin typeface="Arial" panose="020B0604020202020204" pitchFamily="34" charset="0"/>
              <a:cs typeface="Arial" panose="020B0604020202020204" pitchFamily="34" charset="0"/>
            </a:rPr>
            <a:t>INGRESO DE DATOS</a:t>
          </a:r>
        </a:p>
      </xdr:txBody>
    </xdr:sp>
    <xdr:clientData fPrintsWithSheet="0"/>
  </xdr:oneCellAnchor>
  <xdr:oneCellAnchor>
    <xdr:from>
      <xdr:col>6</xdr:col>
      <xdr:colOff>1272391</xdr:colOff>
      <xdr:row>1</xdr:row>
      <xdr:rowOff>10836</xdr:rowOff>
    </xdr:from>
    <xdr:ext cx="1617604" cy="399968"/>
    <xdr:sp macro="[0]!ResumenPDF" textlink="">
      <xdr:nvSpPr>
        <xdr:cNvPr id="8" name="Text Box 40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12143591" y="239436"/>
          <a:ext cx="1617604" cy="399968"/>
        </a:xfrm>
        <a:prstGeom prst="roundRect">
          <a:avLst/>
        </a:prstGeom>
        <a:solidFill>
          <a:srgbClr val="0079C8"/>
        </a:solidFill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CONVERTIR A PDF</a:t>
          </a:r>
        </a:p>
      </xdr:txBody>
    </xdr:sp>
    <xdr:clientData fPrint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649D996-6833-C548-BBDE-C83189B87AE7}">
  <we:reference id="93533c7f-4dc5-468f-aba4-1c008e1a7ac8" version="1.0.0.8" store="EXCatalog" storeType="EXCatalog"/>
  <we:alternateReferences>
    <we:reference id="WA200003101" version="1.0.0.8" store="en-US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JT203"/>
  <sheetViews>
    <sheetView showGridLines="0" tabSelected="1" zoomScale="95" zoomScaleNormal="100" workbookViewId="0">
      <selection activeCell="N23" sqref="N23"/>
    </sheetView>
  </sheetViews>
  <sheetFormatPr baseColWidth="10" defaultColWidth="20.5" defaultRowHeight="18" x14ac:dyDescent="0.2"/>
  <cols>
    <col min="1" max="1" width="14.83203125" style="4" customWidth="1"/>
    <col min="2" max="2" width="32.6640625" style="4" customWidth="1"/>
    <col min="3" max="3" width="21.33203125" style="4" customWidth="1"/>
    <col min="4" max="7" width="20.5" style="4" customWidth="1"/>
    <col min="8" max="8" width="16.6640625" style="4" customWidth="1"/>
    <col min="9" max="9" width="2.1640625" style="4" customWidth="1"/>
    <col min="10" max="10" width="15.1640625" style="4" customWidth="1"/>
    <col min="11" max="11" width="20.5" style="4"/>
    <col min="12" max="12" width="36.83203125" style="4" customWidth="1"/>
    <col min="13" max="13" width="30.5" style="4" customWidth="1"/>
    <col min="14" max="14" width="25.83203125" style="351" customWidth="1"/>
    <col min="15" max="15" width="26.1640625" style="4" hidden="1" customWidth="1"/>
    <col min="16" max="18" width="20.5" style="4" hidden="1" customWidth="1"/>
    <col min="19" max="19" width="23.1640625" style="4" hidden="1" customWidth="1"/>
    <col min="20" max="20" width="54.33203125" style="4" hidden="1" customWidth="1"/>
    <col min="21" max="21" width="20.5" style="4" hidden="1" customWidth="1"/>
    <col min="22" max="22" width="23" style="4" hidden="1" customWidth="1"/>
    <col min="23" max="23" width="26.5" style="4" hidden="1" customWidth="1"/>
    <col min="24" max="27" width="20.5" style="4" hidden="1" customWidth="1"/>
    <col min="28" max="28" width="3.5" style="4" hidden="1" customWidth="1"/>
    <col min="29" max="29" width="12.1640625" style="348" hidden="1" customWidth="1"/>
    <col min="30" max="33" width="12.1640625" style="348" customWidth="1"/>
    <col min="34" max="34" width="3.33203125" style="348" customWidth="1"/>
    <col min="35" max="39" width="12.1640625" style="348" customWidth="1"/>
    <col min="40" max="40" width="4.83203125" style="348" customWidth="1"/>
    <col min="41" max="45" width="12.33203125" style="348" customWidth="1"/>
    <col min="46" max="46" width="3.6640625" style="348" customWidth="1"/>
    <col min="47" max="51" width="11.5" style="348" customWidth="1"/>
    <col min="52" max="233" width="20.5" style="348"/>
    <col min="234" max="16384" width="20.5" style="4"/>
  </cols>
  <sheetData>
    <row r="1" spans="1:280" ht="19" thickBot="1" x14ac:dyDescent="0.25">
      <c r="N1" s="349"/>
      <c r="O1" s="10"/>
      <c r="P1" s="12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  <c r="JN1" s="10"/>
      <c r="JO1" s="10"/>
      <c r="JP1" s="10"/>
      <c r="JQ1" s="10"/>
      <c r="JR1" s="10"/>
      <c r="JS1" s="10"/>
      <c r="JT1" s="10"/>
    </row>
    <row r="2" spans="1:280" ht="19" thickBot="1" x14ac:dyDescent="0.25">
      <c r="H2" s="4" t="s">
        <v>0</v>
      </c>
      <c r="I2" s="4" t="s">
        <v>0</v>
      </c>
      <c r="N2" s="350"/>
      <c r="O2" s="13" t="s">
        <v>1</v>
      </c>
      <c r="P2" s="18" t="b">
        <v>0</v>
      </c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</row>
    <row r="3" spans="1:280" ht="19" thickBot="1" x14ac:dyDescent="0.25">
      <c r="N3" s="350"/>
      <c r="O3" s="10" t="s">
        <v>2</v>
      </c>
      <c r="P3" s="18" t="b">
        <v>0</v>
      </c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</row>
    <row r="4" spans="1:280" x14ac:dyDescent="0.2">
      <c r="N4" s="350"/>
      <c r="O4" s="10"/>
      <c r="P4" s="12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0"/>
      <c r="JQ4" s="10"/>
      <c r="JR4" s="10"/>
      <c r="JS4" s="10"/>
      <c r="JT4" s="10"/>
    </row>
    <row r="5" spans="1:280" x14ac:dyDescent="0.2">
      <c r="N5" s="35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</row>
    <row r="6" spans="1:280" x14ac:dyDescent="0.2">
      <c r="H6" s="5" t="s">
        <v>0</v>
      </c>
      <c r="I6" s="5" t="s">
        <v>0</v>
      </c>
      <c r="J6" s="5"/>
      <c r="N6" s="35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  <c r="IW6" s="10"/>
      <c r="IX6" s="10"/>
      <c r="IY6" s="10"/>
      <c r="IZ6" s="10"/>
      <c r="JA6" s="10"/>
      <c r="JB6" s="10"/>
      <c r="JC6" s="10"/>
      <c r="JD6" s="10"/>
      <c r="JE6" s="10"/>
      <c r="JF6" s="10"/>
      <c r="JG6" s="10"/>
      <c r="JH6" s="10"/>
      <c r="JI6" s="10"/>
      <c r="JJ6" s="10"/>
      <c r="JK6" s="10"/>
      <c r="JL6" s="10"/>
      <c r="JM6" s="10"/>
      <c r="JN6" s="10"/>
      <c r="JO6" s="10"/>
      <c r="JP6" s="10"/>
      <c r="JQ6" s="10"/>
      <c r="JR6" s="10"/>
      <c r="JS6" s="10"/>
      <c r="JT6" s="10"/>
    </row>
    <row r="7" spans="1:280" x14ac:dyDescent="0.2">
      <c r="N7" s="35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0"/>
      <c r="IS7" s="10"/>
      <c r="IT7" s="10"/>
      <c r="IU7" s="10"/>
      <c r="IV7" s="10"/>
      <c r="IW7" s="10"/>
      <c r="IX7" s="10"/>
      <c r="IY7" s="10"/>
      <c r="IZ7" s="10"/>
      <c r="JA7" s="10"/>
      <c r="JB7" s="10"/>
      <c r="JC7" s="10"/>
      <c r="JD7" s="10"/>
      <c r="JE7" s="10"/>
      <c r="JF7" s="10"/>
      <c r="JG7" s="10"/>
      <c r="JH7" s="10"/>
      <c r="JI7" s="10"/>
      <c r="JJ7" s="10"/>
      <c r="JK7" s="10"/>
      <c r="JL7" s="10"/>
      <c r="JM7" s="10"/>
      <c r="JN7" s="10"/>
      <c r="JO7" s="10"/>
      <c r="JP7" s="10"/>
      <c r="JQ7" s="10"/>
      <c r="JR7" s="10"/>
      <c r="JS7" s="10"/>
      <c r="JT7" s="10"/>
    </row>
    <row r="8" spans="1:280" x14ac:dyDescent="0.2">
      <c r="N8" s="35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</row>
    <row r="9" spans="1:280" x14ac:dyDescent="0.2">
      <c r="N9" s="35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  <c r="JN9" s="10"/>
      <c r="JO9" s="10"/>
      <c r="JP9" s="10"/>
      <c r="JQ9" s="10"/>
      <c r="JR9" s="10"/>
      <c r="JS9" s="10"/>
      <c r="JT9" s="10"/>
    </row>
    <row r="10" spans="1:280" x14ac:dyDescent="0.2">
      <c r="N10" s="35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  <c r="JS10" s="10"/>
      <c r="JT10" s="10"/>
    </row>
    <row r="11" spans="1:280" ht="20" x14ac:dyDescent="0.2">
      <c r="A11" s="428"/>
      <c r="B11" s="428"/>
      <c r="C11" s="428"/>
      <c r="D11" s="428"/>
      <c r="E11" s="428"/>
      <c r="F11" s="428"/>
      <c r="G11" s="428"/>
      <c r="H11" s="428"/>
      <c r="I11" s="428"/>
      <c r="J11" s="428"/>
      <c r="K11" s="428"/>
      <c r="L11" s="428"/>
      <c r="M11" s="428"/>
      <c r="N11" s="350"/>
      <c r="O11" s="414" t="s">
        <v>3</v>
      </c>
      <c r="P11" s="415"/>
      <c r="Q11" s="416"/>
      <c r="R11" s="10"/>
      <c r="S11" s="422" t="s">
        <v>4</v>
      </c>
      <c r="T11" s="383" t="s">
        <v>5</v>
      </c>
      <c r="U11" s="10"/>
      <c r="V11" s="422" t="s">
        <v>6</v>
      </c>
      <c r="W11" s="19" t="s">
        <v>7</v>
      </c>
      <c r="X11" s="10"/>
      <c r="Y11" s="10"/>
      <c r="Z11" s="10"/>
      <c r="AA11" s="10"/>
      <c r="AB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0"/>
      <c r="IM11" s="10"/>
      <c r="IN11" s="10"/>
      <c r="IO11" s="10"/>
      <c r="IP11" s="10"/>
      <c r="IQ11" s="10"/>
      <c r="IR11" s="10"/>
      <c r="IS11" s="10"/>
      <c r="IT11" s="10"/>
      <c r="IU11" s="10"/>
      <c r="IV11" s="10"/>
      <c r="IW11" s="10"/>
      <c r="IX11" s="10"/>
      <c r="IY11" s="10"/>
      <c r="IZ11" s="10"/>
      <c r="JA11" s="10"/>
      <c r="JB11" s="10"/>
      <c r="JC11" s="10"/>
      <c r="JD11" s="10"/>
      <c r="JE11" s="10"/>
      <c r="JF11" s="10"/>
      <c r="JG11" s="10"/>
      <c r="JH11" s="10"/>
      <c r="JI11" s="10"/>
      <c r="JJ11" s="10"/>
      <c r="JK11" s="10"/>
      <c r="JL11" s="10"/>
      <c r="JM11" s="10"/>
      <c r="JN11" s="10"/>
      <c r="JO11" s="10"/>
      <c r="JP11" s="10"/>
      <c r="JQ11" s="10"/>
      <c r="JR11" s="10"/>
      <c r="JS11" s="10"/>
      <c r="JT11" s="10"/>
    </row>
    <row r="12" spans="1:280" x14ac:dyDescent="0.2">
      <c r="N12" s="350"/>
      <c r="O12" s="21" t="s">
        <v>8</v>
      </c>
      <c r="P12" s="22" t="s">
        <v>9</v>
      </c>
      <c r="Q12" s="23" t="s">
        <v>10</v>
      </c>
      <c r="R12" s="10"/>
      <c r="S12" s="423"/>
      <c r="T12" s="384" t="s">
        <v>11</v>
      </c>
      <c r="U12" s="10"/>
      <c r="V12" s="423"/>
      <c r="W12" s="20" t="s">
        <v>12</v>
      </c>
      <c r="X12" s="10"/>
      <c r="Y12" s="10"/>
      <c r="Z12" s="10"/>
      <c r="AA12" s="10"/>
      <c r="AB12" s="10"/>
      <c r="HZ12" s="10"/>
      <c r="IA12" s="10"/>
      <c r="IB12" s="10"/>
      <c r="IC12" s="10"/>
      <c r="ID12" s="10"/>
      <c r="IE12" s="10"/>
      <c r="IF12" s="10"/>
      <c r="IG12" s="10"/>
      <c r="IH12" s="10"/>
      <c r="II12" s="10"/>
      <c r="IJ12" s="10"/>
      <c r="IK12" s="10"/>
      <c r="IL12" s="10"/>
      <c r="IM12" s="10"/>
      <c r="IN12" s="10"/>
      <c r="IO12" s="10"/>
      <c r="IP12" s="10"/>
      <c r="IQ12" s="10"/>
      <c r="IR12" s="10"/>
      <c r="IS12" s="10"/>
      <c r="IT12" s="10"/>
      <c r="IU12" s="10"/>
      <c r="IV12" s="10"/>
      <c r="IW12" s="10"/>
      <c r="IX12" s="10"/>
      <c r="IY12" s="10"/>
      <c r="IZ12" s="10"/>
      <c r="JA12" s="10"/>
      <c r="JB12" s="10"/>
      <c r="JC12" s="10"/>
      <c r="JD12" s="10"/>
      <c r="JE12" s="10"/>
      <c r="JF12" s="10"/>
      <c r="JG12" s="10"/>
      <c r="JH12" s="10"/>
      <c r="JI12" s="10"/>
      <c r="JJ12" s="10"/>
      <c r="JK12" s="10"/>
      <c r="JL12" s="10"/>
      <c r="JM12" s="10"/>
      <c r="JN12" s="10"/>
      <c r="JO12" s="10"/>
      <c r="JP12" s="10"/>
      <c r="JQ12" s="10"/>
      <c r="JR12" s="10"/>
      <c r="JS12" s="10"/>
      <c r="JT12" s="10"/>
    </row>
    <row r="13" spans="1:280" x14ac:dyDescent="0.2">
      <c r="N13" s="350"/>
      <c r="O13" s="24">
        <v>24</v>
      </c>
      <c r="P13" s="25">
        <v>35</v>
      </c>
      <c r="Q13" s="26">
        <f>1-P13/100</f>
        <v>0.65</v>
      </c>
      <c r="R13" s="10"/>
      <c r="S13" s="423"/>
      <c r="T13" s="384" t="s">
        <v>13</v>
      </c>
      <c r="U13" s="10"/>
      <c r="V13" s="423"/>
      <c r="W13" s="20"/>
      <c r="X13" s="10"/>
      <c r="Y13" s="10"/>
      <c r="Z13" s="10"/>
      <c r="AA13" s="10"/>
      <c r="AB13" s="10"/>
      <c r="HZ13" s="10"/>
      <c r="IA13" s="10"/>
      <c r="IB13" s="10"/>
      <c r="IC13" s="10"/>
      <c r="ID13" s="10"/>
      <c r="IE13" s="10"/>
      <c r="IF13" s="10"/>
      <c r="IG13" s="10"/>
      <c r="IH13" s="10"/>
      <c r="II13" s="10"/>
      <c r="IJ13" s="10"/>
      <c r="IK13" s="10"/>
      <c r="IL13" s="10"/>
      <c r="IM13" s="10"/>
      <c r="IN13" s="10"/>
      <c r="IO13" s="10"/>
      <c r="IP13" s="10"/>
      <c r="IQ13" s="10"/>
      <c r="IR13" s="10"/>
      <c r="IS13" s="10"/>
      <c r="IT13" s="10"/>
      <c r="IU13" s="10"/>
      <c r="IV13" s="10"/>
      <c r="IW13" s="10"/>
      <c r="IX13" s="10"/>
      <c r="IY13" s="10"/>
      <c r="IZ13" s="10"/>
      <c r="JA13" s="10"/>
      <c r="JB13" s="10"/>
      <c r="JC13" s="10"/>
      <c r="JD13" s="10"/>
      <c r="JE13" s="10"/>
      <c r="JF13" s="10"/>
      <c r="JG13" s="10"/>
      <c r="JH13" s="10"/>
      <c r="JI13" s="10"/>
      <c r="JJ13" s="10"/>
      <c r="JK13" s="10"/>
      <c r="JL13" s="10"/>
      <c r="JM13" s="10"/>
      <c r="JN13" s="10"/>
      <c r="JO13" s="10"/>
      <c r="JP13" s="10"/>
      <c r="JQ13" s="10"/>
      <c r="JR13" s="10"/>
      <c r="JS13" s="10"/>
      <c r="JT13" s="10"/>
    </row>
    <row r="14" spans="1:280" x14ac:dyDescent="0.2">
      <c r="N14" s="350"/>
      <c r="O14" s="24">
        <v>25</v>
      </c>
      <c r="P14" s="25">
        <v>30</v>
      </c>
      <c r="Q14" s="26">
        <f t="shared" ref="Q14:Q19" si="0">1-P14/100</f>
        <v>0.7</v>
      </c>
      <c r="R14" s="10"/>
      <c r="S14" s="423"/>
      <c r="T14" s="384" t="s">
        <v>14</v>
      </c>
      <c r="U14" s="10"/>
      <c r="V14" s="423"/>
      <c r="W14" s="20"/>
      <c r="X14" s="10"/>
      <c r="Y14" s="10"/>
      <c r="Z14" s="10"/>
      <c r="AA14" s="10"/>
      <c r="AB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  <c r="IV14" s="10"/>
      <c r="IW14" s="10"/>
      <c r="IX14" s="10"/>
      <c r="IY14" s="10"/>
      <c r="IZ14" s="10"/>
      <c r="JA14" s="10"/>
      <c r="JB14" s="10"/>
      <c r="JC14" s="10"/>
      <c r="JD14" s="10"/>
      <c r="JE14" s="10"/>
      <c r="JF14" s="10"/>
      <c r="JG14" s="10"/>
      <c r="JH14" s="10"/>
      <c r="JI14" s="10"/>
      <c r="JJ14" s="10"/>
      <c r="JK14" s="10"/>
      <c r="JL14" s="10"/>
      <c r="JM14" s="10"/>
      <c r="JN14" s="10"/>
      <c r="JO14" s="10"/>
      <c r="JP14" s="10"/>
      <c r="JQ14" s="10"/>
      <c r="JR14" s="10"/>
      <c r="JS14" s="10"/>
      <c r="JT14" s="10"/>
    </row>
    <row r="15" spans="1:280" x14ac:dyDescent="0.2">
      <c r="K15" s="430"/>
      <c r="L15" s="430"/>
      <c r="M15" s="430"/>
      <c r="N15" s="350"/>
      <c r="O15" s="24">
        <v>26</v>
      </c>
      <c r="P15" s="25">
        <v>25</v>
      </c>
      <c r="Q15" s="26">
        <f t="shared" si="0"/>
        <v>0.75</v>
      </c>
      <c r="R15" s="10"/>
      <c r="S15" s="423"/>
      <c r="T15" s="384" t="s">
        <v>15</v>
      </c>
      <c r="U15" s="10"/>
      <c r="V15" s="423"/>
      <c r="W15" s="20"/>
      <c r="X15" s="10"/>
      <c r="Y15" s="10"/>
      <c r="Z15" s="10"/>
      <c r="AA15" s="10"/>
      <c r="AB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  <c r="IU15" s="10"/>
      <c r="IV15" s="10"/>
      <c r="IW15" s="10"/>
      <c r="IX15" s="10"/>
      <c r="IY15" s="10"/>
      <c r="IZ15" s="10"/>
      <c r="JA15" s="10"/>
      <c r="JB15" s="10"/>
      <c r="JC15" s="10"/>
      <c r="JD15" s="10"/>
      <c r="JE15" s="10"/>
      <c r="JF15" s="10"/>
      <c r="JG15" s="10"/>
      <c r="JH15" s="10"/>
      <c r="JI15" s="10"/>
      <c r="JJ15" s="10"/>
      <c r="JK15" s="10"/>
      <c r="JL15" s="10"/>
      <c r="JM15" s="10"/>
      <c r="JN15" s="10"/>
      <c r="JO15" s="10"/>
      <c r="JP15" s="10"/>
      <c r="JQ15" s="10"/>
      <c r="JR15" s="10"/>
      <c r="JS15" s="10"/>
      <c r="JT15" s="10"/>
    </row>
    <row r="16" spans="1:280" x14ac:dyDescent="0.2">
      <c r="N16" s="350"/>
      <c r="O16" s="24">
        <v>27</v>
      </c>
      <c r="P16" s="25">
        <v>20</v>
      </c>
      <c r="Q16" s="26">
        <f t="shared" si="0"/>
        <v>0.8</v>
      </c>
      <c r="R16" s="10"/>
      <c r="S16" s="423"/>
      <c r="T16" s="385" t="s">
        <v>16</v>
      </c>
      <c r="U16" s="10"/>
      <c r="V16" s="423"/>
      <c r="W16" s="20"/>
      <c r="X16" s="10"/>
      <c r="Y16" s="10"/>
      <c r="Z16" s="10"/>
      <c r="AA16" s="10"/>
      <c r="AB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10"/>
      <c r="IT16" s="10"/>
      <c r="IU16" s="10"/>
      <c r="IV16" s="10"/>
      <c r="IW16" s="10"/>
      <c r="IX16" s="10"/>
      <c r="IY16" s="10"/>
      <c r="IZ16" s="10"/>
      <c r="JA16" s="10"/>
      <c r="JB16" s="10"/>
      <c r="JC16" s="10"/>
      <c r="JD16" s="10"/>
      <c r="JE16" s="10"/>
      <c r="JF16" s="10"/>
      <c r="JG16" s="10"/>
      <c r="JH16" s="10"/>
      <c r="JI16" s="10"/>
      <c r="JJ16" s="10"/>
      <c r="JK16" s="10"/>
      <c r="JL16" s="10"/>
      <c r="JM16" s="10"/>
      <c r="JN16" s="10"/>
      <c r="JO16" s="10"/>
      <c r="JP16" s="10"/>
      <c r="JQ16" s="10"/>
      <c r="JR16" s="10"/>
      <c r="JS16" s="10"/>
      <c r="JT16" s="10"/>
    </row>
    <row r="17" spans="1:280" x14ac:dyDescent="0.2">
      <c r="J17" s="7"/>
      <c r="N17" s="350"/>
      <c r="O17" s="24">
        <v>28</v>
      </c>
      <c r="P17" s="25">
        <v>15</v>
      </c>
      <c r="Q17" s="26">
        <f t="shared" si="0"/>
        <v>0.85</v>
      </c>
      <c r="R17" s="10"/>
      <c r="S17" s="423"/>
      <c r="T17" s="385" t="s">
        <v>17</v>
      </c>
      <c r="U17" s="10"/>
      <c r="V17" s="423"/>
      <c r="W17" s="20"/>
      <c r="X17" s="10"/>
      <c r="Y17" s="10"/>
      <c r="Z17" s="10"/>
      <c r="AA17" s="10"/>
      <c r="AB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  <c r="IU17" s="10"/>
      <c r="IV17" s="10"/>
      <c r="IW17" s="10"/>
      <c r="IX17" s="10"/>
      <c r="IY17" s="10"/>
      <c r="IZ17" s="10"/>
      <c r="JA17" s="10"/>
      <c r="JB17" s="10"/>
      <c r="JC17" s="10"/>
      <c r="JD17" s="10"/>
      <c r="JE17" s="10"/>
      <c r="JF17" s="10"/>
      <c r="JG17" s="10"/>
      <c r="JH17" s="10"/>
      <c r="JI17" s="10"/>
      <c r="JJ17" s="10"/>
      <c r="JK17" s="10"/>
      <c r="JL17" s="10"/>
      <c r="JM17" s="10"/>
      <c r="JN17" s="10"/>
      <c r="JO17" s="10"/>
      <c r="JP17" s="10"/>
      <c r="JQ17" s="10"/>
      <c r="JR17" s="10"/>
      <c r="JS17" s="10"/>
      <c r="JT17" s="10"/>
    </row>
    <row r="18" spans="1:280" x14ac:dyDescent="0.2">
      <c r="N18" s="350"/>
      <c r="O18" s="24">
        <v>29</v>
      </c>
      <c r="P18" s="25">
        <v>6</v>
      </c>
      <c r="Q18" s="26">
        <f t="shared" si="0"/>
        <v>0.94</v>
      </c>
      <c r="R18" s="10"/>
      <c r="S18" s="423"/>
      <c r="T18" s="384" t="s">
        <v>18</v>
      </c>
      <c r="U18" s="10"/>
      <c r="V18" s="423"/>
      <c r="W18" s="20"/>
      <c r="X18" s="10"/>
      <c r="Y18" s="10"/>
      <c r="Z18" s="10"/>
      <c r="AA18" s="10"/>
      <c r="AB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  <c r="IV18" s="10"/>
      <c r="IW18" s="10"/>
      <c r="IX18" s="10"/>
      <c r="IY18" s="10"/>
      <c r="IZ18" s="10"/>
      <c r="JA18" s="10"/>
      <c r="JB18" s="10"/>
      <c r="JC18" s="10"/>
      <c r="JD18" s="10"/>
      <c r="JE18" s="10"/>
      <c r="JF18" s="10"/>
      <c r="JG18" s="10"/>
      <c r="JH18" s="10"/>
      <c r="JI18" s="10"/>
      <c r="JJ18" s="10"/>
      <c r="JK18" s="10"/>
      <c r="JL18" s="10"/>
      <c r="JM18" s="10"/>
      <c r="JN18" s="10"/>
      <c r="JO18" s="10"/>
      <c r="JP18" s="10"/>
      <c r="JQ18" s="10"/>
      <c r="JR18" s="10"/>
      <c r="JS18" s="10"/>
      <c r="JT18" s="10"/>
    </row>
    <row r="19" spans="1:280" ht="19" thickBot="1" x14ac:dyDescent="0.25">
      <c r="N19" s="350"/>
      <c r="O19" s="27" t="s">
        <v>19</v>
      </c>
      <c r="P19" s="28">
        <v>0</v>
      </c>
      <c r="Q19" s="29">
        <f t="shared" si="0"/>
        <v>1</v>
      </c>
      <c r="R19" s="10"/>
      <c r="S19" s="17" t="s">
        <v>20</v>
      </c>
      <c r="T19" s="386">
        <v>8</v>
      </c>
      <c r="U19" s="10"/>
      <c r="V19" s="344" t="s">
        <v>21</v>
      </c>
      <c r="W19" s="345">
        <v>2</v>
      </c>
      <c r="X19" s="10"/>
      <c r="Y19" s="10"/>
      <c r="Z19" s="10"/>
      <c r="AA19" s="10"/>
      <c r="AB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  <c r="IV19" s="10"/>
      <c r="IW19" s="10"/>
      <c r="IX19" s="10"/>
      <c r="IY19" s="10"/>
      <c r="IZ19" s="10"/>
      <c r="JA19" s="10"/>
      <c r="JB19" s="10"/>
      <c r="JC19" s="10"/>
      <c r="JD19" s="10"/>
      <c r="JE19" s="10"/>
      <c r="JF19" s="10"/>
      <c r="JG19" s="10"/>
      <c r="JH19" s="10"/>
      <c r="JI19" s="10"/>
      <c r="JJ19" s="10"/>
      <c r="JK19" s="10"/>
      <c r="JL19" s="10"/>
      <c r="JM19" s="10"/>
      <c r="JN19" s="10"/>
      <c r="JO19" s="10"/>
      <c r="JP19" s="10"/>
      <c r="JQ19" s="10"/>
      <c r="JR19" s="10"/>
      <c r="JS19" s="10"/>
      <c r="JT19" s="10"/>
    </row>
    <row r="20" spans="1:280" ht="19" thickBot="1" x14ac:dyDescent="0.25">
      <c r="N20" s="350"/>
      <c r="O20" s="10"/>
      <c r="P20" s="10"/>
      <c r="Q20" s="10"/>
      <c r="R20" s="10"/>
      <c r="S20" s="10"/>
      <c r="T20" s="10"/>
      <c r="U20" s="10"/>
      <c r="V20" s="346" t="s">
        <v>22</v>
      </c>
      <c r="W20" s="347" t="str">
        <f>IF(W19=1,"Guayas/Santa Elena","Resto de Ecuador")</f>
        <v>Resto de Ecuador</v>
      </c>
      <c r="X20" s="10"/>
      <c r="Y20" s="10"/>
      <c r="Z20" s="10"/>
      <c r="AA20" s="10"/>
      <c r="AB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  <c r="IV20" s="10"/>
      <c r="IW20" s="10"/>
      <c r="IX20" s="10"/>
      <c r="IY20" s="10"/>
      <c r="IZ20" s="10"/>
      <c r="JA20" s="10"/>
      <c r="JB20" s="10"/>
      <c r="JC20" s="10"/>
      <c r="JD20" s="10"/>
      <c r="JE20" s="10"/>
      <c r="JF20" s="10"/>
      <c r="JG20" s="10"/>
      <c r="JH20" s="10"/>
      <c r="JI20" s="10"/>
      <c r="JJ20" s="10"/>
      <c r="JK20" s="10"/>
      <c r="JL20" s="10"/>
      <c r="JM20" s="10"/>
      <c r="JN20" s="10"/>
      <c r="JO20" s="10"/>
      <c r="JP20" s="10"/>
      <c r="JQ20" s="10"/>
      <c r="JR20" s="10"/>
      <c r="JS20" s="10"/>
      <c r="JT20" s="10"/>
    </row>
    <row r="21" spans="1:280" x14ac:dyDescent="0.2">
      <c r="F21" s="1"/>
      <c r="G21" s="2"/>
      <c r="H21" s="3" t="b">
        <v>0</v>
      </c>
      <c r="N21" s="35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10"/>
      <c r="IT21" s="10"/>
      <c r="IU21" s="10"/>
      <c r="IV21" s="10"/>
      <c r="IW21" s="10"/>
      <c r="IX21" s="10"/>
      <c r="IY21" s="10"/>
      <c r="IZ21" s="10"/>
      <c r="JA21" s="10"/>
      <c r="JB21" s="10"/>
      <c r="JC21" s="10"/>
      <c r="JD21" s="10"/>
      <c r="JE21" s="10"/>
      <c r="JF21" s="10"/>
      <c r="JG21" s="10"/>
      <c r="JH21" s="10"/>
      <c r="JI21" s="10"/>
      <c r="JJ21" s="10"/>
      <c r="JK21" s="10"/>
      <c r="JL21" s="10"/>
      <c r="JM21" s="10"/>
      <c r="JN21" s="10"/>
      <c r="JO21" s="10"/>
      <c r="JP21" s="10"/>
      <c r="JQ21" s="10"/>
      <c r="JR21" s="10"/>
      <c r="JS21" s="10"/>
      <c r="JT21" s="10"/>
    </row>
    <row r="22" spans="1:280" x14ac:dyDescent="0.2">
      <c r="N22" s="350"/>
      <c r="O22" s="400" t="s">
        <v>23</v>
      </c>
      <c r="P22" s="400"/>
      <c r="Q22" s="400"/>
      <c r="R22" s="400"/>
      <c r="S22" s="400"/>
      <c r="T22" s="36"/>
      <c r="U22" s="400" t="s">
        <v>24</v>
      </c>
      <c r="V22" s="400"/>
      <c r="W22" s="400"/>
      <c r="X22" s="400"/>
      <c r="Y22" s="400"/>
      <c r="Z22" s="382"/>
      <c r="AA22" s="382"/>
      <c r="AB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  <c r="IU22" s="10"/>
      <c r="IV22" s="10"/>
      <c r="IW22" s="10"/>
      <c r="IX22" s="10"/>
      <c r="IY22" s="10"/>
      <c r="IZ22" s="10"/>
      <c r="JA22" s="10"/>
      <c r="JB22" s="10"/>
      <c r="JC22" s="10"/>
      <c r="JD22" s="10"/>
      <c r="JE22" s="10"/>
      <c r="JF22" s="10"/>
      <c r="JG22" s="10"/>
      <c r="JH22" s="10"/>
      <c r="JI22" s="10"/>
      <c r="JJ22" s="10"/>
      <c r="JK22" s="10"/>
      <c r="JL22" s="10"/>
      <c r="JM22" s="10"/>
      <c r="JN22" s="10"/>
      <c r="JO22" s="10"/>
      <c r="JP22" s="10"/>
      <c r="JQ22" s="10"/>
      <c r="JR22" s="10"/>
      <c r="JS22" s="10"/>
      <c r="JT22" s="10"/>
    </row>
    <row r="23" spans="1:280" ht="19" thickBot="1" x14ac:dyDescent="0.25">
      <c r="N23" s="350"/>
      <c r="O23" s="57" t="s">
        <v>25</v>
      </c>
      <c r="P23" s="57" t="s">
        <v>26</v>
      </c>
      <c r="Q23" s="57" t="s">
        <v>27</v>
      </c>
      <c r="R23" s="393"/>
      <c r="S23" s="57"/>
      <c r="T23" s="34"/>
      <c r="U23" s="57" t="s">
        <v>25</v>
      </c>
      <c r="V23" s="57" t="s">
        <v>26</v>
      </c>
      <c r="W23" s="57" t="s">
        <v>27</v>
      </c>
      <c r="X23" s="393"/>
      <c r="Y23" s="57"/>
      <c r="Z23" s="34"/>
      <c r="AA23" s="34"/>
      <c r="AB23" s="10"/>
      <c r="HZ23" s="10"/>
      <c r="IA23" s="10"/>
      <c r="IB23" s="10"/>
      <c r="IC23" s="10"/>
      <c r="ID23" s="10"/>
      <c r="IE23" s="10"/>
      <c r="IF23" s="10"/>
      <c r="IG23" s="10"/>
      <c r="IH23" s="10"/>
      <c r="II23" s="10"/>
      <c r="IJ23" s="10"/>
      <c r="IK23" s="10"/>
      <c r="IL23" s="10"/>
      <c r="IM23" s="10"/>
      <c r="IN23" s="10"/>
      <c r="IO23" s="10"/>
      <c r="IP23" s="10"/>
      <c r="IQ23" s="10"/>
      <c r="IR23" s="10"/>
      <c r="IS23" s="10"/>
      <c r="IT23" s="10"/>
      <c r="IU23" s="10"/>
      <c r="IV23" s="10"/>
      <c r="IW23" s="10"/>
      <c r="IX23" s="10"/>
      <c r="IY23" s="10"/>
      <c r="IZ23" s="10"/>
      <c r="JA23" s="10"/>
      <c r="JB23" s="10"/>
      <c r="JC23" s="10"/>
      <c r="JD23" s="10"/>
      <c r="JE23" s="10"/>
      <c r="JF23" s="10"/>
      <c r="JG23" s="10"/>
      <c r="JH23" s="10"/>
      <c r="JI23" s="10"/>
      <c r="JJ23" s="10"/>
      <c r="JK23" s="10"/>
      <c r="JL23" s="10"/>
      <c r="JM23" s="10"/>
      <c r="JN23" s="10"/>
      <c r="JO23" s="10"/>
      <c r="JP23" s="10"/>
      <c r="JQ23" s="10"/>
      <c r="JR23" s="10"/>
      <c r="JS23" s="10"/>
      <c r="JT23" s="10"/>
    </row>
    <row r="24" spans="1:280" ht="19" thickBot="1" x14ac:dyDescent="0.25">
      <c r="A24" s="6"/>
      <c r="N24" s="350"/>
      <c r="O24" s="154">
        <v>15</v>
      </c>
      <c r="P24" s="154">
        <v>0</v>
      </c>
      <c r="Q24" s="154">
        <v>0</v>
      </c>
      <c r="R24" s="154"/>
      <c r="S24" s="154"/>
      <c r="T24" s="35"/>
      <c r="U24" s="154">
        <v>15</v>
      </c>
      <c r="V24" s="154">
        <v>0</v>
      </c>
      <c r="W24" s="154">
        <v>0</v>
      </c>
      <c r="X24" s="154"/>
      <c r="Y24" s="154"/>
      <c r="Z24" s="387"/>
      <c r="AA24" s="387"/>
      <c r="AB24" s="10"/>
      <c r="HZ24" s="10"/>
      <c r="IA24" s="10"/>
      <c r="IB24" s="10"/>
      <c r="IC24" s="10"/>
      <c r="ID24" s="10"/>
      <c r="IE24" s="10"/>
      <c r="IF24" s="10"/>
      <c r="IG24" s="10"/>
      <c r="IH24" s="10"/>
      <c r="II24" s="10"/>
      <c r="IJ24" s="10"/>
      <c r="IK24" s="10"/>
      <c r="IL24" s="10"/>
      <c r="IM24" s="10"/>
      <c r="IN24" s="10"/>
      <c r="IO24" s="10"/>
      <c r="IP24" s="10"/>
      <c r="IQ24" s="10"/>
      <c r="IR24" s="10"/>
      <c r="IS24" s="10"/>
      <c r="IT24" s="10"/>
      <c r="IU24" s="10"/>
      <c r="IV24" s="10"/>
      <c r="IW24" s="10"/>
      <c r="IX24" s="10"/>
      <c r="IY24" s="10"/>
      <c r="IZ24" s="10"/>
      <c r="JA24" s="10"/>
      <c r="JB24" s="10"/>
      <c r="JC24" s="10"/>
      <c r="JD24" s="10"/>
      <c r="JE24" s="10"/>
      <c r="JF24" s="10"/>
      <c r="JG24" s="10"/>
      <c r="JH24" s="10"/>
      <c r="JI24" s="10"/>
      <c r="JJ24" s="10"/>
      <c r="JK24" s="10"/>
      <c r="JL24" s="10"/>
      <c r="JM24" s="10"/>
      <c r="JN24" s="10"/>
      <c r="JO24" s="10"/>
      <c r="JP24" s="10"/>
      <c r="JQ24" s="10"/>
      <c r="JR24" s="10"/>
      <c r="JS24" s="10"/>
      <c r="JT24" s="10"/>
    </row>
    <row r="25" spans="1:280" x14ac:dyDescent="0.2">
      <c r="N25" s="35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HZ25" s="10"/>
      <c r="IA25" s="10"/>
      <c r="IB25" s="10"/>
      <c r="IC25" s="10"/>
      <c r="ID25" s="10"/>
      <c r="IE25" s="10"/>
      <c r="IF25" s="10"/>
      <c r="IG25" s="10"/>
      <c r="IH25" s="10"/>
      <c r="II25" s="10"/>
      <c r="IJ25" s="10"/>
      <c r="IK25" s="10"/>
      <c r="IL25" s="10"/>
      <c r="IM25" s="10"/>
      <c r="IN25" s="10"/>
      <c r="IO25" s="10"/>
      <c r="IP25" s="10"/>
      <c r="IQ25" s="10"/>
      <c r="IR25" s="10"/>
      <c r="IS25" s="10"/>
      <c r="IT25" s="10"/>
      <c r="IU25" s="10"/>
      <c r="IV25" s="10"/>
      <c r="IW25" s="10"/>
      <c r="IX25" s="10"/>
      <c r="IY25" s="10"/>
      <c r="IZ25" s="10"/>
      <c r="JA25" s="10"/>
      <c r="JB25" s="10"/>
      <c r="JC25" s="10"/>
      <c r="JD25" s="10"/>
      <c r="JE25" s="10"/>
      <c r="JF25" s="10"/>
      <c r="JG25" s="10"/>
      <c r="JH25" s="10"/>
      <c r="JI25" s="10"/>
      <c r="JJ25" s="10"/>
      <c r="JK25" s="10"/>
      <c r="JL25" s="10"/>
      <c r="JM25" s="10"/>
      <c r="JN25" s="10"/>
      <c r="JO25" s="10"/>
      <c r="JP25" s="10"/>
      <c r="JQ25" s="10"/>
      <c r="JR25" s="10"/>
      <c r="JS25" s="10"/>
      <c r="JT25" s="10"/>
    </row>
    <row r="26" spans="1:280" x14ac:dyDescent="0.2">
      <c r="N26" s="350"/>
      <c r="O26" s="10"/>
      <c r="P26" s="10"/>
      <c r="Q26" s="10"/>
      <c r="R26" s="10"/>
      <c r="S26" s="10"/>
      <c r="T26" s="10"/>
      <c r="U26" s="407" t="s">
        <v>28</v>
      </c>
      <c r="V26" s="407"/>
      <c r="W26" s="407"/>
      <c r="X26" s="407"/>
      <c r="Y26" s="407"/>
      <c r="Z26" s="382"/>
      <c r="AA26" s="382"/>
      <c r="AB26" s="10"/>
      <c r="HZ26" s="10"/>
      <c r="IA26" s="10"/>
      <c r="IB26" s="10"/>
      <c r="IC26" s="10"/>
      <c r="ID26" s="10"/>
      <c r="IE26" s="10"/>
      <c r="IF26" s="10"/>
      <c r="IG26" s="10"/>
      <c r="IH26" s="10"/>
      <c r="II26" s="10"/>
      <c r="IJ26" s="10"/>
      <c r="IK26" s="10"/>
      <c r="IL26" s="10"/>
      <c r="IM26" s="10"/>
      <c r="IN26" s="10"/>
      <c r="IO26" s="10"/>
      <c r="IP26" s="10"/>
      <c r="IQ26" s="10"/>
      <c r="IR26" s="10"/>
      <c r="IS26" s="10"/>
      <c r="IT26" s="10"/>
      <c r="IU26" s="10"/>
      <c r="IV26" s="10"/>
      <c r="IW26" s="10"/>
      <c r="IX26" s="10"/>
      <c r="IY26" s="10"/>
      <c r="IZ26" s="10"/>
      <c r="JA26" s="10"/>
      <c r="JB26" s="10"/>
      <c r="JC26" s="10"/>
      <c r="JD26" s="10"/>
      <c r="JE26" s="10"/>
      <c r="JF26" s="10"/>
      <c r="JG26" s="10"/>
      <c r="JH26" s="10"/>
      <c r="JI26" s="10"/>
      <c r="JJ26" s="10"/>
      <c r="JK26" s="10"/>
      <c r="JL26" s="10"/>
      <c r="JM26" s="10"/>
      <c r="JN26" s="10"/>
      <c r="JO26" s="10"/>
      <c r="JP26" s="10"/>
      <c r="JQ26" s="10"/>
      <c r="JR26" s="10"/>
      <c r="JS26" s="10"/>
      <c r="JT26" s="10"/>
    </row>
    <row r="27" spans="1:280" ht="19" thickBot="1" x14ac:dyDescent="0.25">
      <c r="N27" s="350"/>
      <c r="O27" s="10"/>
      <c r="P27" s="10"/>
      <c r="Q27" s="10"/>
      <c r="R27" s="10"/>
      <c r="S27" s="10"/>
      <c r="T27" s="10"/>
      <c r="U27" s="34" t="s">
        <v>25</v>
      </c>
      <c r="V27" s="34" t="s">
        <v>26</v>
      </c>
      <c r="W27" s="34" t="s">
        <v>27</v>
      </c>
      <c r="X27" s="34"/>
      <c r="Y27" s="34"/>
      <c r="Z27" s="34"/>
      <c r="AA27" s="34"/>
      <c r="AB27" s="10"/>
      <c r="HZ27" s="10"/>
      <c r="IA27" s="10"/>
      <c r="IB27" s="10"/>
      <c r="IC27" s="10"/>
      <c r="ID27" s="10"/>
      <c r="IE27" s="10"/>
      <c r="IF27" s="10"/>
      <c r="IG27" s="10"/>
      <c r="IH27" s="10"/>
      <c r="II27" s="10"/>
      <c r="IJ27" s="10"/>
      <c r="IK27" s="10"/>
      <c r="IL27" s="10"/>
      <c r="IM27" s="10"/>
      <c r="IN27" s="10"/>
      <c r="IO27" s="10"/>
      <c r="IP27" s="10"/>
      <c r="IQ27" s="10"/>
      <c r="IR27" s="10"/>
      <c r="IS27" s="10"/>
      <c r="IT27" s="10"/>
      <c r="IU27" s="10"/>
      <c r="IV27" s="10"/>
      <c r="IW27" s="10"/>
      <c r="IX27" s="10"/>
      <c r="IY27" s="10"/>
      <c r="IZ27" s="10"/>
      <c r="JA27" s="10"/>
      <c r="JB27" s="10"/>
      <c r="JC27" s="10"/>
      <c r="JD27" s="10"/>
      <c r="JE27" s="10"/>
      <c r="JF27" s="10"/>
      <c r="JG27" s="10"/>
      <c r="JH27" s="10"/>
      <c r="JI27" s="10"/>
      <c r="JJ27" s="10"/>
      <c r="JK27" s="10"/>
      <c r="JL27" s="10"/>
      <c r="JM27" s="10"/>
      <c r="JN27" s="10"/>
      <c r="JO27" s="10"/>
      <c r="JP27" s="10"/>
      <c r="JQ27" s="10"/>
      <c r="JR27" s="10"/>
      <c r="JS27" s="10"/>
      <c r="JT27" s="10"/>
    </row>
    <row r="28" spans="1:280" ht="19" thickBot="1" x14ac:dyDescent="0.25">
      <c r="N28" s="350"/>
      <c r="O28" s="10"/>
      <c r="P28" s="10"/>
      <c r="Q28" s="10"/>
      <c r="R28" s="10"/>
      <c r="S28" s="10"/>
      <c r="T28" s="10"/>
      <c r="U28" s="154">
        <v>15</v>
      </c>
      <c r="V28" s="154">
        <v>0</v>
      </c>
      <c r="W28" s="154">
        <v>0</v>
      </c>
      <c r="X28" s="154"/>
      <c r="Y28" s="154"/>
      <c r="Z28" s="387"/>
      <c r="AA28" s="387"/>
      <c r="AB28" s="10"/>
      <c r="HZ28" s="10"/>
      <c r="IA28" s="10"/>
      <c r="IB28" s="10"/>
      <c r="IC28" s="10"/>
      <c r="ID28" s="10"/>
      <c r="IE28" s="10"/>
      <c r="IF28" s="10"/>
      <c r="IG28" s="10"/>
      <c r="IH28" s="10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10"/>
      <c r="IT28" s="10"/>
      <c r="IU28" s="10"/>
      <c r="IV28" s="10"/>
      <c r="IW28" s="10"/>
      <c r="IX28" s="10"/>
      <c r="IY28" s="10"/>
      <c r="IZ28" s="10"/>
      <c r="JA28" s="10"/>
      <c r="JB28" s="10"/>
      <c r="JC28" s="10"/>
      <c r="JD28" s="10"/>
      <c r="JE28" s="10"/>
      <c r="JF28" s="10"/>
      <c r="JG28" s="10"/>
      <c r="JH28" s="10"/>
      <c r="JI28" s="10"/>
      <c r="JJ28" s="10"/>
      <c r="JK28" s="10"/>
      <c r="JL28" s="10"/>
      <c r="JM28" s="10"/>
      <c r="JN28" s="10"/>
      <c r="JO28" s="10"/>
      <c r="JP28" s="10"/>
      <c r="JQ28" s="10"/>
      <c r="JR28" s="10"/>
      <c r="JS28" s="10"/>
      <c r="JT28" s="10"/>
    </row>
    <row r="29" spans="1:280" ht="19" thickBot="1" x14ac:dyDescent="0.25">
      <c r="N29" s="350"/>
      <c r="O29" s="15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HZ29" s="10"/>
      <c r="IA29" s="10"/>
      <c r="IB29" s="10"/>
      <c r="IC29" s="10"/>
      <c r="ID29" s="10"/>
      <c r="IE29" s="10"/>
      <c r="IF29" s="10"/>
      <c r="IG29" s="10"/>
      <c r="IH29" s="10"/>
      <c r="II29" s="10"/>
      <c r="IJ29" s="10"/>
      <c r="IK29" s="10"/>
      <c r="IL29" s="10"/>
      <c r="IM29" s="10"/>
      <c r="IN29" s="10"/>
      <c r="IO29" s="10"/>
      <c r="IP29" s="10"/>
      <c r="IQ29" s="10"/>
      <c r="IR29" s="10"/>
      <c r="IS29" s="10"/>
      <c r="IT29" s="10"/>
      <c r="IU29" s="10"/>
      <c r="IV29" s="10"/>
      <c r="IW29" s="10"/>
      <c r="IX29" s="10"/>
      <c r="IY29" s="10"/>
      <c r="IZ29" s="10"/>
      <c r="JA29" s="10"/>
      <c r="JB29" s="10"/>
      <c r="JC29" s="10"/>
      <c r="JD29" s="10"/>
      <c r="JE29" s="10"/>
      <c r="JF29" s="10"/>
      <c r="JG29" s="10"/>
      <c r="JH29" s="10"/>
      <c r="JI29" s="10"/>
      <c r="JJ29" s="10"/>
      <c r="JK29" s="10"/>
      <c r="JL29" s="10"/>
      <c r="JM29" s="10"/>
      <c r="JN29" s="10"/>
      <c r="JO29" s="10"/>
      <c r="JP29" s="10"/>
      <c r="JQ29" s="10"/>
      <c r="JR29" s="10"/>
      <c r="JS29" s="10"/>
      <c r="JT29" s="10"/>
    </row>
    <row r="30" spans="1:280" ht="19" thickBot="1" x14ac:dyDescent="0.25">
      <c r="N30" s="350"/>
      <c r="O30" s="14" t="s">
        <v>29</v>
      </c>
      <c r="P30" s="195">
        <f>IF(P2,IF(C43=O13,Q13,IF(C43=O14,Q14,IF(C43=O15,Q15,IF(C43=O16,Q16,IF(C43=O17,Q17,IF(C43=O18,Q18,Q19)))))),Q19)</f>
        <v>1</v>
      </c>
      <c r="Q30" s="10"/>
      <c r="R30" s="10"/>
      <c r="S30" s="10"/>
      <c r="T30" s="10"/>
      <c r="U30" s="400" t="s">
        <v>30</v>
      </c>
      <c r="V30" s="400"/>
      <c r="W30" s="400"/>
      <c r="X30" s="400"/>
      <c r="Y30" s="400"/>
      <c r="Z30" s="382"/>
      <c r="AA30" s="382"/>
      <c r="AB30" s="10"/>
      <c r="HZ30" s="10"/>
      <c r="IA30" s="10"/>
      <c r="IB30" s="10"/>
      <c r="IC30" s="10"/>
      <c r="ID30" s="10"/>
      <c r="IE30" s="10"/>
      <c r="IF30" s="10"/>
      <c r="IG30" s="10"/>
      <c r="IH30" s="10"/>
      <c r="II30" s="10"/>
      <c r="IJ30" s="10"/>
      <c r="IK30" s="10"/>
      <c r="IL30" s="10"/>
      <c r="IM30" s="10"/>
      <c r="IN30" s="10"/>
      <c r="IO30" s="10"/>
      <c r="IP30" s="10"/>
      <c r="IQ30" s="10"/>
      <c r="IR30" s="10"/>
      <c r="IS30" s="10"/>
      <c r="IT30" s="10"/>
      <c r="IU30" s="10"/>
      <c r="IV30" s="10"/>
      <c r="IW30" s="10"/>
      <c r="IX30" s="10"/>
      <c r="IY30" s="10"/>
      <c r="IZ30" s="10"/>
      <c r="JA30" s="10"/>
      <c r="JB30" s="10"/>
      <c r="JC30" s="10"/>
      <c r="JD30" s="10"/>
      <c r="JE30" s="10"/>
      <c r="JF30" s="10"/>
      <c r="JG30" s="10"/>
      <c r="JH30" s="10"/>
      <c r="JI30" s="10"/>
      <c r="JJ30" s="10"/>
      <c r="JK30" s="10"/>
      <c r="JL30" s="10"/>
      <c r="JM30" s="10"/>
      <c r="JN30" s="10"/>
      <c r="JO30" s="10"/>
      <c r="JP30" s="10"/>
      <c r="JQ30" s="10"/>
      <c r="JR30" s="10"/>
      <c r="JS30" s="10"/>
      <c r="JT30" s="10"/>
    </row>
    <row r="31" spans="1:280" ht="19" thickBot="1" x14ac:dyDescent="0.25">
      <c r="N31" s="350"/>
      <c r="O31" s="14"/>
      <c r="P31" s="30"/>
      <c r="Q31" s="10"/>
      <c r="R31" s="10"/>
      <c r="S31" s="10"/>
      <c r="T31" s="10"/>
      <c r="U31" s="57" t="s">
        <v>25</v>
      </c>
      <c r="V31" s="57" t="s">
        <v>26</v>
      </c>
      <c r="W31" s="57" t="s">
        <v>27</v>
      </c>
      <c r="X31" s="393"/>
      <c r="Y31" s="57"/>
      <c r="Z31" s="34"/>
      <c r="AA31" s="34"/>
      <c r="AB31" s="10"/>
      <c r="HZ31" s="10"/>
      <c r="IA31" s="10"/>
      <c r="IB31" s="10"/>
      <c r="IC31" s="10"/>
      <c r="ID31" s="10"/>
      <c r="IE31" s="10"/>
      <c r="IF31" s="10"/>
      <c r="IG31" s="10"/>
      <c r="IH31" s="10"/>
      <c r="II31" s="10"/>
      <c r="IJ31" s="10"/>
      <c r="IK31" s="10"/>
      <c r="IL31" s="10"/>
      <c r="IM31" s="10"/>
      <c r="IN31" s="10"/>
      <c r="IO31" s="10"/>
      <c r="IP31" s="10"/>
      <c r="IQ31" s="10"/>
      <c r="IR31" s="10"/>
      <c r="IS31" s="10"/>
      <c r="IT31" s="10"/>
      <c r="IU31" s="10"/>
      <c r="IV31" s="10"/>
      <c r="IW31" s="10"/>
      <c r="IX31" s="10"/>
      <c r="IY31" s="10"/>
      <c r="IZ31" s="10"/>
      <c r="JA31" s="10"/>
      <c r="JB31" s="10"/>
      <c r="JC31" s="10"/>
      <c r="JD31" s="10"/>
      <c r="JE31" s="10"/>
      <c r="JF31" s="10"/>
      <c r="JG31" s="10"/>
      <c r="JH31" s="10"/>
      <c r="JI31" s="10"/>
      <c r="JJ31" s="10"/>
      <c r="JK31" s="10"/>
      <c r="JL31" s="10"/>
      <c r="JM31" s="10"/>
      <c r="JN31" s="10"/>
      <c r="JO31" s="10"/>
      <c r="JP31" s="10"/>
      <c r="JQ31" s="10"/>
      <c r="JR31" s="10"/>
      <c r="JS31" s="10"/>
      <c r="JT31" s="10"/>
    </row>
    <row r="32" spans="1:280" ht="20" thickBot="1" x14ac:dyDescent="0.25">
      <c r="N32" s="350"/>
      <c r="O32" s="16" t="s">
        <v>31</v>
      </c>
      <c r="P32" s="38">
        <f>IF(P3=TRUE,0.25,1)</f>
        <v>1</v>
      </c>
      <c r="Q32" s="10"/>
      <c r="R32" s="10"/>
      <c r="S32" s="10"/>
      <c r="T32" s="10"/>
      <c r="U32" s="154">
        <v>0</v>
      </c>
      <c r="V32" s="154">
        <v>0</v>
      </c>
      <c r="W32" s="154">
        <v>0</v>
      </c>
      <c r="X32" s="154"/>
      <c r="Y32" s="154"/>
      <c r="Z32" s="387"/>
      <c r="AA32" s="387"/>
      <c r="AB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  <c r="IT32" s="10"/>
      <c r="IU32" s="10"/>
      <c r="IV32" s="10"/>
      <c r="IW32" s="10"/>
      <c r="IX32" s="10"/>
      <c r="IY32" s="10"/>
      <c r="IZ32" s="10"/>
      <c r="JA32" s="10"/>
      <c r="JB32" s="10"/>
      <c r="JC32" s="10"/>
      <c r="JD32" s="10"/>
      <c r="JE32" s="10"/>
      <c r="JF32" s="10"/>
      <c r="JG32" s="10"/>
      <c r="JH32" s="10"/>
      <c r="JI32" s="10"/>
      <c r="JJ32" s="10"/>
      <c r="JK32" s="10"/>
      <c r="JL32" s="10"/>
      <c r="JM32" s="10"/>
      <c r="JN32" s="10"/>
      <c r="JO32" s="10"/>
      <c r="JP32" s="10"/>
      <c r="JQ32" s="10"/>
      <c r="JR32" s="10"/>
      <c r="JS32" s="10"/>
      <c r="JT32" s="10"/>
    </row>
    <row r="33" spans="1:280" x14ac:dyDescent="0.2">
      <c r="N33" s="35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HZ33" s="10"/>
      <c r="IA33" s="10"/>
      <c r="IB33" s="10"/>
      <c r="IC33" s="10"/>
      <c r="ID33" s="10"/>
      <c r="IE33" s="10"/>
      <c r="IF33" s="10"/>
      <c r="IG33" s="10"/>
      <c r="IH33" s="10"/>
      <c r="II33" s="10"/>
      <c r="IJ33" s="10"/>
      <c r="IK33" s="10"/>
      <c r="IL33" s="10"/>
      <c r="IM33" s="10"/>
      <c r="IN33" s="10"/>
      <c r="IO33" s="10"/>
      <c r="IP33" s="10"/>
      <c r="IQ33" s="10"/>
      <c r="IR33" s="10"/>
      <c r="IS33" s="10"/>
      <c r="IT33" s="10"/>
      <c r="IU33" s="10"/>
      <c r="IV33" s="10"/>
      <c r="IW33" s="10"/>
      <c r="IX33" s="10"/>
      <c r="IY33" s="10"/>
      <c r="IZ33" s="10"/>
      <c r="JA33" s="10"/>
      <c r="JB33" s="10"/>
      <c r="JC33" s="10"/>
      <c r="JD33" s="10"/>
      <c r="JE33" s="10"/>
      <c r="JF33" s="10"/>
      <c r="JG33" s="10"/>
      <c r="JH33" s="10"/>
      <c r="JI33" s="10"/>
      <c r="JJ33" s="10"/>
      <c r="JK33" s="10"/>
      <c r="JL33" s="10"/>
      <c r="JM33" s="10"/>
      <c r="JN33" s="10"/>
      <c r="JO33" s="10"/>
      <c r="JP33" s="10"/>
      <c r="JQ33" s="10"/>
      <c r="JR33" s="10"/>
      <c r="JS33" s="10"/>
      <c r="JT33" s="10"/>
    </row>
    <row r="34" spans="1:280" x14ac:dyDescent="0.2">
      <c r="N34" s="350"/>
      <c r="O34" s="10"/>
      <c r="P34" s="10"/>
      <c r="Q34" s="10"/>
      <c r="R34" s="10"/>
      <c r="S34" s="10"/>
      <c r="T34" s="10"/>
      <c r="U34" s="400" t="s">
        <v>32</v>
      </c>
      <c r="V34" s="400"/>
      <c r="W34" s="400"/>
      <c r="X34" s="400"/>
      <c r="Y34" s="400"/>
      <c r="Z34" s="382"/>
      <c r="AA34" s="382"/>
      <c r="AB34" s="10"/>
      <c r="HZ34" s="10"/>
      <c r="IA34" s="10"/>
      <c r="IB34" s="10"/>
      <c r="IC34" s="10"/>
      <c r="ID34" s="10"/>
      <c r="IE34" s="10"/>
      <c r="IF34" s="10"/>
      <c r="IG34" s="10"/>
      <c r="IH34" s="10"/>
      <c r="II34" s="10"/>
      <c r="IJ34" s="10"/>
      <c r="IK34" s="10"/>
      <c r="IL34" s="10"/>
      <c r="IM34" s="10"/>
      <c r="IN34" s="10"/>
      <c r="IO34" s="10"/>
      <c r="IP34" s="10"/>
      <c r="IQ34" s="10"/>
      <c r="IR34" s="10"/>
      <c r="IS34" s="10"/>
      <c r="IT34" s="10"/>
      <c r="IU34" s="10"/>
      <c r="IV34" s="10"/>
      <c r="IW34" s="10"/>
      <c r="IX34" s="10"/>
      <c r="IY34" s="10"/>
      <c r="IZ34" s="10"/>
      <c r="JA34" s="10"/>
      <c r="JB34" s="10"/>
      <c r="JC34" s="10"/>
      <c r="JD34" s="10"/>
      <c r="JE34" s="10"/>
      <c r="JF34" s="10"/>
      <c r="JG34" s="10"/>
      <c r="JH34" s="10"/>
      <c r="JI34" s="10"/>
      <c r="JJ34" s="10"/>
      <c r="JK34" s="10"/>
      <c r="JL34" s="10"/>
      <c r="JM34" s="10"/>
      <c r="JN34" s="10"/>
      <c r="JO34" s="10"/>
      <c r="JP34" s="10"/>
      <c r="JQ34" s="10"/>
      <c r="JR34" s="10"/>
      <c r="JS34" s="10"/>
      <c r="JT34" s="10"/>
    </row>
    <row r="35" spans="1:280" ht="19" thickBot="1" x14ac:dyDescent="0.25">
      <c r="N35" s="350"/>
      <c r="O35" s="14" t="s">
        <v>33</v>
      </c>
      <c r="P35" s="10"/>
      <c r="Q35" s="10"/>
      <c r="R35" s="10"/>
      <c r="S35" s="10"/>
      <c r="T35" s="10"/>
      <c r="U35" s="57" t="s">
        <v>25</v>
      </c>
      <c r="V35" s="57" t="s">
        <v>26</v>
      </c>
      <c r="W35" s="57" t="s">
        <v>27</v>
      </c>
      <c r="X35" s="393"/>
      <c r="Y35" s="57"/>
      <c r="Z35" s="34"/>
      <c r="AA35" s="34"/>
      <c r="AB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10"/>
      <c r="IT35" s="10"/>
      <c r="IU35" s="10"/>
      <c r="IV35" s="10"/>
      <c r="IW35" s="10"/>
      <c r="IX35" s="10"/>
      <c r="IY35" s="10"/>
      <c r="IZ35" s="10"/>
      <c r="JA35" s="10"/>
      <c r="JB35" s="10"/>
      <c r="JC35" s="10"/>
      <c r="JD35" s="10"/>
      <c r="JE35" s="10"/>
      <c r="JF35" s="10"/>
      <c r="JG35" s="10"/>
      <c r="JH35" s="10"/>
      <c r="JI35" s="10"/>
      <c r="JJ35" s="10"/>
      <c r="JK35" s="10"/>
      <c r="JL35" s="10"/>
      <c r="JM35" s="10"/>
      <c r="JN35" s="10"/>
      <c r="JO35" s="10"/>
      <c r="JP35" s="10"/>
      <c r="JQ35" s="10"/>
      <c r="JR35" s="10"/>
      <c r="JS35" s="10"/>
      <c r="JT35" s="10"/>
    </row>
    <row r="36" spans="1:280" ht="19" thickBot="1" x14ac:dyDescent="0.25">
      <c r="N36" s="350"/>
      <c r="O36" s="10"/>
      <c r="P36" s="10"/>
      <c r="Q36" s="10"/>
      <c r="R36" s="10"/>
      <c r="S36" s="10"/>
      <c r="T36" s="10"/>
      <c r="U36" s="154">
        <v>0</v>
      </c>
      <c r="V36" s="154">
        <v>0</v>
      </c>
      <c r="W36" s="154">
        <v>0</v>
      </c>
      <c r="X36" s="154"/>
      <c r="Y36" s="154"/>
      <c r="Z36" s="387"/>
      <c r="AA36" s="387"/>
      <c r="AB36" s="10"/>
      <c r="HZ36" s="10"/>
      <c r="IA36" s="10"/>
      <c r="IB36" s="10"/>
      <c r="IC36" s="10"/>
      <c r="ID36" s="10"/>
      <c r="IE36" s="10"/>
      <c r="IF36" s="10"/>
      <c r="IG36" s="10"/>
      <c r="IH36" s="10"/>
      <c r="II36" s="10"/>
      <c r="IJ36" s="10"/>
      <c r="IK36" s="10"/>
      <c r="IL36" s="10"/>
      <c r="IM36" s="10"/>
      <c r="IN36" s="10"/>
      <c r="IO36" s="10"/>
      <c r="IP36" s="10"/>
      <c r="IQ36" s="10"/>
      <c r="IR36" s="10"/>
      <c r="IS36" s="10"/>
      <c r="IT36" s="10"/>
      <c r="IU36" s="10"/>
      <c r="IV36" s="10"/>
      <c r="IW36" s="10"/>
      <c r="IX36" s="10"/>
      <c r="IY36" s="10"/>
      <c r="IZ36" s="10"/>
      <c r="JA36" s="10"/>
      <c r="JB36" s="10"/>
      <c r="JC36" s="10"/>
      <c r="JD36" s="10"/>
      <c r="JE36" s="10"/>
      <c r="JF36" s="10"/>
      <c r="JG36" s="10"/>
      <c r="JH36" s="10"/>
      <c r="JI36" s="10"/>
      <c r="JJ36" s="10"/>
      <c r="JK36" s="10"/>
      <c r="JL36" s="10"/>
      <c r="JM36" s="10"/>
      <c r="JN36" s="10"/>
      <c r="JO36" s="10"/>
      <c r="JP36" s="10"/>
      <c r="JQ36" s="10"/>
      <c r="JR36" s="10"/>
      <c r="JS36" s="10"/>
      <c r="JT36" s="10"/>
    </row>
    <row r="37" spans="1:280" x14ac:dyDescent="0.2">
      <c r="A37" s="429" t="s">
        <v>34</v>
      </c>
      <c r="B37" s="429"/>
      <c r="C37" s="417" t="s">
        <v>35</v>
      </c>
      <c r="D37" s="417"/>
      <c r="E37" s="417"/>
      <c r="F37" s="417"/>
      <c r="G37" s="417"/>
      <c r="H37" s="417"/>
      <c r="I37" s="417"/>
      <c r="J37" s="417"/>
      <c r="K37" s="417"/>
      <c r="L37" s="417"/>
      <c r="M37" s="418"/>
      <c r="N37" s="350"/>
      <c r="O37" s="419" t="s">
        <v>36</v>
      </c>
      <c r="P37" s="420"/>
      <c r="Q37" s="420"/>
      <c r="R37" s="420"/>
      <c r="S37" s="421"/>
      <c r="T37" s="36"/>
      <c r="U37" s="10"/>
      <c r="V37" s="10"/>
      <c r="W37" s="10"/>
      <c r="X37" s="10"/>
      <c r="Y37" s="10"/>
      <c r="Z37" s="10"/>
      <c r="AA37" s="10"/>
      <c r="AB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  <c r="IW37" s="10"/>
      <c r="IX37" s="10"/>
      <c r="IY37" s="10"/>
      <c r="IZ37" s="10"/>
      <c r="JA37" s="10"/>
      <c r="JB37" s="10"/>
      <c r="JC37" s="10"/>
      <c r="JD37" s="10"/>
      <c r="JE37" s="10"/>
      <c r="JF37" s="10"/>
      <c r="JG37" s="10"/>
      <c r="JH37" s="10"/>
      <c r="JI37" s="10"/>
      <c r="JJ37" s="10"/>
      <c r="JK37" s="10"/>
      <c r="JL37" s="10"/>
      <c r="JM37" s="10"/>
      <c r="JN37" s="10"/>
      <c r="JO37" s="10"/>
      <c r="JP37" s="10"/>
      <c r="JQ37" s="10"/>
      <c r="JR37" s="10"/>
      <c r="JS37" s="10"/>
      <c r="JT37" s="10"/>
    </row>
    <row r="38" spans="1:280" x14ac:dyDescent="0.2">
      <c r="N38" s="350"/>
      <c r="O38" s="57" t="s">
        <v>25</v>
      </c>
      <c r="P38" s="57" t="s">
        <v>26</v>
      </c>
      <c r="Q38" s="57" t="s">
        <v>27</v>
      </c>
      <c r="R38" s="192"/>
      <c r="S38" s="192"/>
      <c r="T38" s="34"/>
      <c r="U38" s="400" t="s">
        <v>37</v>
      </c>
      <c r="V38" s="400"/>
      <c r="W38" s="400"/>
      <c r="X38" s="400"/>
      <c r="Y38" s="400"/>
      <c r="Z38" s="382"/>
      <c r="AA38" s="382"/>
      <c r="AB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  <c r="IW38" s="10"/>
      <c r="IX38" s="10"/>
      <c r="IY38" s="10"/>
      <c r="IZ38" s="10"/>
      <c r="JA38" s="10"/>
      <c r="JB38" s="10"/>
      <c r="JC38" s="10"/>
      <c r="JD38" s="10"/>
      <c r="JE38" s="10"/>
      <c r="JF38" s="10"/>
      <c r="JG38" s="10"/>
      <c r="JH38" s="10"/>
      <c r="JI38" s="10"/>
      <c r="JJ38" s="10"/>
      <c r="JK38" s="10"/>
      <c r="JL38" s="10"/>
      <c r="JM38" s="10"/>
      <c r="JN38" s="10"/>
      <c r="JO38" s="10"/>
      <c r="JP38" s="10"/>
      <c r="JQ38" s="10"/>
      <c r="JR38" s="10"/>
      <c r="JS38" s="10"/>
      <c r="JT38" s="10"/>
    </row>
    <row r="39" spans="1:280" ht="19" thickBot="1" x14ac:dyDescent="0.25">
      <c r="A39" s="429" t="s">
        <v>38</v>
      </c>
      <c r="B39" s="429"/>
      <c r="C39" s="8">
        <v>2</v>
      </c>
      <c r="N39" s="350"/>
      <c r="O39" s="193">
        <f>IF($T$19=1, (O24/100),IF($T$19=2, (U24/100), IF($T$19=3,(U28/100),IF($T$19=4,(U40/100),IF($T$19=5,0,IF($T$19=7,U52/100,0))))))</f>
        <v>0</v>
      </c>
      <c r="P39" s="193">
        <f t="shared" ref="P39:Q39" si="1">IF($T$19=1, (P24/100),IF($T$19=2, (V24/100), IF($T$19=3,(V28/100),IF($T$19=4,(V40/100),IF($T$19=5,0,IF($T$19=7,V52/100,0))))))</f>
        <v>0</v>
      </c>
      <c r="Q39" s="193">
        <f t="shared" si="1"/>
        <v>0</v>
      </c>
      <c r="R39" s="193"/>
      <c r="S39" s="193"/>
      <c r="T39" s="37"/>
      <c r="U39" s="57" t="s">
        <v>25</v>
      </c>
      <c r="V39" s="57" t="s">
        <v>26</v>
      </c>
      <c r="W39" s="57" t="s">
        <v>27</v>
      </c>
      <c r="X39" s="393"/>
      <c r="Y39" s="57"/>
      <c r="Z39" s="34"/>
      <c r="AA39" s="34"/>
      <c r="AB39" s="10"/>
      <c r="HZ39" s="10"/>
      <c r="IA39" s="10"/>
      <c r="IB39" s="10"/>
      <c r="IC39" s="10"/>
      <c r="ID39" s="10"/>
      <c r="IE39" s="10"/>
      <c r="IF39" s="10"/>
      <c r="IG39" s="10"/>
      <c r="IH39" s="10"/>
      <c r="II39" s="10"/>
      <c r="IJ39" s="10"/>
      <c r="IK39" s="10"/>
      <c r="IL39" s="10"/>
      <c r="IM39" s="10"/>
      <c r="IN39" s="10"/>
      <c r="IO39" s="10"/>
      <c r="IP39" s="10"/>
      <c r="IQ39" s="10"/>
      <c r="IR39" s="10"/>
      <c r="IS39" s="10"/>
      <c r="IT39" s="10"/>
      <c r="IU39" s="10"/>
      <c r="IV39" s="10"/>
      <c r="IW39" s="10"/>
      <c r="IX39" s="10"/>
      <c r="IY39" s="10"/>
      <c r="IZ39" s="10"/>
      <c r="JA39" s="10"/>
      <c r="JB39" s="10"/>
      <c r="JC39" s="10"/>
      <c r="JD39" s="10"/>
      <c r="JE39" s="10"/>
      <c r="JF39" s="10"/>
      <c r="JG39" s="10"/>
      <c r="JH39" s="10"/>
      <c r="JI39" s="10"/>
      <c r="JJ39" s="10"/>
      <c r="JK39" s="10"/>
      <c r="JL39" s="10"/>
      <c r="JM39" s="10"/>
      <c r="JN39" s="10"/>
      <c r="JO39" s="10"/>
      <c r="JP39" s="10"/>
      <c r="JQ39" s="10"/>
      <c r="JR39" s="10"/>
      <c r="JS39" s="10"/>
      <c r="JT39" s="10"/>
    </row>
    <row r="40" spans="1:280" ht="19" thickBot="1" x14ac:dyDescent="0.25">
      <c r="N40" s="350"/>
      <c r="O40" s="10"/>
      <c r="P40" s="10"/>
      <c r="Q40" s="10"/>
      <c r="R40" s="10"/>
      <c r="S40" s="10"/>
      <c r="T40" s="10"/>
      <c r="U40" s="154">
        <v>5</v>
      </c>
      <c r="V40" s="154">
        <v>5</v>
      </c>
      <c r="W40" s="154">
        <v>0</v>
      </c>
      <c r="X40" s="154"/>
      <c r="Y40" s="154"/>
      <c r="Z40" s="387"/>
      <c r="AA40" s="387"/>
      <c r="AB40" s="10"/>
      <c r="HZ40" s="10"/>
      <c r="IA40" s="10"/>
      <c r="IB40" s="10"/>
      <c r="IC40" s="10"/>
      <c r="ID40" s="10"/>
      <c r="IE40" s="10"/>
      <c r="IF40" s="10"/>
      <c r="IG40" s="10"/>
      <c r="IH40" s="10"/>
      <c r="II40" s="10"/>
      <c r="IJ40" s="10"/>
      <c r="IK40" s="10"/>
      <c r="IL40" s="10"/>
      <c r="IM40" s="10"/>
      <c r="IN40" s="10"/>
      <c r="IO40" s="10"/>
      <c r="IP40" s="10"/>
      <c r="IQ40" s="10"/>
      <c r="IR40" s="10"/>
      <c r="IS40" s="10"/>
      <c r="IT40" s="10"/>
      <c r="IU40" s="10"/>
      <c r="IV40" s="10"/>
      <c r="IW40" s="10"/>
      <c r="IX40" s="10"/>
      <c r="IY40" s="10"/>
      <c r="IZ40" s="10"/>
      <c r="JA40" s="10"/>
      <c r="JB40" s="10"/>
      <c r="JC40" s="10"/>
      <c r="JD40" s="10"/>
      <c r="JE40" s="10"/>
      <c r="JF40" s="10"/>
      <c r="JG40" s="10"/>
      <c r="JH40" s="10"/>
      <c r="JI40" s="10"/>
      <c r="JJ40" s="10"/>
      <c r="JK40" s="10"/>
      <c r="JL40" s="10"/>
      <c r="JM40" s="10"/>
      <c r="JN40" s="10"/>
      <c r="JO40" s="10"/>
      <c r="JP40" s="10"/>
      <c r="JQ40" s="10"/>
      <c r="JR40" s="10"/>
      <c r="JS40" s="10"/>
      <c r="JT40" s="10"/>
    </row>
    <row r="41" spans="1:280" x14ac:dyDescent="0.2">
      <c r="A41" s="429" t="s">
        <v>39</v>
      </c>
      <c r="B41" s="429"/>
      <c r="C41" s="8">
        <v>1</v>
      </c>
      <c r="N41" s="35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HZ41" s="10"/>
      <c r="IA41" s="10"/>
      <c r="IB41" s="10"/>
      <c r="IC41" s="10"/>
      <c r="ID41" s="10"/>
      <c r="IE41" s="10"/>
      <c r="IF41" s="10"/>
      <c r="IG41" s="10"/>
      <c r="IH41" s="10"/>
      <c r="II41" s="10"/>
      <c r="IJ41" s="10"/>
      <c r="IK41" s="10"/>
      <c r="IL41" s="10"/>
      <c r="IM41" s="10"/>
      <c r="IN41" s="10"/>
      <c r="IO41" s="10"/>
      <c r="IP41" s="10"/>
      <c r="IQ41" s="10"/>
      <c r="IR41" s="10"/>
      <c r="IS41" s="10"/>
      <c r="IT41" s="10"/>
      <c r="IU41" s="10"/>
      <c r="IV41" s="10"/>
      <c r="IW41" s="10"/>
      <c r="IX41" s="10"/>
      <c r="IY41" s="10"/>
      <c r="IZ41" s="10"/>
      <c r="JA41" s="10"/>
      <c r="JB41" s="10"/>
      <c r="JC41" s="10"/>
      <c r="JD41" s="10"/>
      <c r="JE41" s="10"/>
      <c r="JF41" s="10"/>
      <c r="JG41" s="10"/>
      <c r="JH41" s="10"/>
      <c r="JI41" s="10"/>
      <c r="JJ41" s="10"/>
      <c r="JK41" s="10"/>
      <c r="JL41" s="10"/>
      <c r="JM41" s="10"/>
      <c r="JN41" s="10"/>
      <c r="JO41" s="10"/>
      <c r="JP41" s="10"/>
      <c r="JQ41" s="10"/>
      <c r="JR41" s="10"/>
      <c r="JS41" s="10"/>
      <c r="JT41" s="10"/>
    </row>
    <row r="42" spans="1:280" x14ac:dyDescent="0.2">
      <c r="N42" s="350"/>
      <c r="O42" s="424" t="s">
        <v>40</v>
      </c>
      <c r="P42" s="424"/>
      <c r="Q42" s="424"/>
      <c r="R42" s="10"/>
      <c r="S42" s="10"/>
      <c r="T42" s="10"/>
      <c r="U42" s="400" t="s">
        <v>41</v>
      </c>
      <c r="V42" s="400"/>
      <c r="W42" s="400"/>
      <c r="X42" s="400"/>
      <c r="Y42" s="400"/>
      <c r="Z42" s="382"/>
      <c r="AA42" s="382"/>
      <c r="AB42" s="10"/>
      <c r="HZ42" s="10"/>
      <c r="IA42" s="10"/>
      <c r="IB42" s="10"/>
      <c r="IC42" s="10"/>
      <c r="ID42" s="10"/>
      <c r="IE42" s="10"/>
      <c r="IF42" s="10"/>
      <c r="IG42" s="10"/>
      <c r="IH42" s="10"/>
      <c r="II42" s="10"/>
      <c r="IJ42" s="10"/>
      <c r="IK42" s="10"/>
      <c r="IL42" s="10"/>
      <c r="IM42" s="10"/>
      <c r="IN42" s="10"/>
      <c r="IO42" s="10"/>
      <c r="IP42" s="10"/>
      <c r="IQ42" s="10"/>
      <c r="IR42" s="10"/>
      <c r="IS42" s="10"/>
      <c r="IT42" s="10"/>
      <c r="IU42" s="10"/>
      <c r="IV42" s="10"/>
      <c r="IW42" s="10"/>
      <c r="IX42" s="10"/>
      <c r="IY42" s="10"/>
      <c r="IZ42" s="10"/>
      <c r="JA42" s="10"/>
      <c r="JB42" s="10"/>
      <c r="JC42" s="10"/>
      <c r="JD42" s="10"/>
      <c r="JE42" s="10"/>
      <c r="JF42" s="10"/>
      <c r="JG42" s="10"/>
      <c r="JH42" s="10"/>
      <c r="JI42" s="10"/>
      <c r="JJ42" s="10"/>
      <c r="JK42" s="10"/>
      <c r="JL42" s="10"/>
      <c r="JM42" s="10"/>
      <c r="JN42" s="10"/>
      <c r="JO42" s="10"/>
      <c r="JP42" s="10"/>
      <c r="JQ42" s="10"/>
      <c r="JR42" s="10"/>
      <c r="JS42" s="10"/>
      <c r="JT42" s="10"/>
    </row>
    <row r="43" spans="1:280" ht="19" thickBot="1" x14ac:dyDescent="0.25">
      <c r="A43" s="429" t="s">
        <v>42</v>
      </c>
      <c r="B43" s="429"/>
      <c r="C43" s="8">
        <v>34</v>
      </c>
      <c r="L43" s="425" t="str">
        <f>IF(T19=1,"Solo Essential 500 y 1000","")</f>
        <v/>
      </c>
      <c r="M43" s="426"/>
      <c r="N43" s="350"/>
      <c r="O43" s="10"/>
      <c r="P43" s="10"/>
      <c r="Q43" s="10"/>
      <c r="R43" s="10"/>
      <c r="S43" s="10"/>
      <c r="T43" s="10"/>
      <c r="U43" s="57" t="s">
        <v>25</v>
      </c>
      <c r="V43" s="57" t="s">
        <v>26</v>
      </c>
      <c r="W43" s="57" t="s">
        <v>27</v>
      </c>
      <c r="X43" s="393"/>
      <c r="Y43" s="57"/>
      <c r="Z43" s="34"/>
      <c r="AA43" s="34"/>
      <c r="AB43" s="10"/>
      <c r="HZ43" s="10"/>
      <c r="IA43" s="10"/>
      <c r="IB43" s="10"/>
      <c r="IC43" s="10"/>
      <c r="ID43" s="10"/>
      <c r="IE43" s="10"/>
      <c r="IF43" s="10"/>
      <c r="IG43" s="10"/>
      <c r="IH43" s="10"/>
      <c r="II43" s="10"/>
      <c r="IJ43" s="10"/>
      <c r="IK43" s="10"/>
      <c r="IL43" s="10"/>
      <c r="IM43" s="10"/>
      <c r="IN43" s="10"/>
      <c r="IO43" s="10"/>
      <c r="IP43" s="10"/>
      <c r="IQ43" s="10"/>
      <c r="IR43" s="10"/>
      <c r="IS43" s="10"/>
      <c r="IT43" s="10"/>
      <c r="IU43" s="10"/>
      <c r="IV43" s="10"/>
      <c r="IW43" s="10"/>
      <c r="IX43" s="10"/>
      <c r="IY43" s="10"/>
      <c r="IZ43" s="10"/>
      <c r="JA43" s="10"/>
      <c r="JB43" s="10"/>
      <c r="JC43" s="10"/>
      <c r="JD43" s="10"/>
      <c r="JE43" s="10"/>
      <c r="JF43" s="10"/>
      <c r="JG43" s="10"/>
      <c r="JH43" s="10"/>
      <c r="JI43" s="10"/>
      <c r="JJ43" s="10"/>
      <c r="JK43" s="10"/>
      <c r="JL43" s="10"/>
      <c r="JM43" s="10"/>
      <c r="JN43" s="10"/>
      <c r="JO43" s="10"/>
      <c r="JP43" s="10"/>
      <c r="JQ43" s="10"/>
      <c r="JR43" s="10"/>
      <c r="JS43" s="10"/>
      <c r="JT43" s="10"/>
    </row>
    <row r="44" spans="1:280" ht="19" thickBot="1" x14ac:dyDescent="0.25">
      <c r="L44" s="408" t="str">
        <f>IF($T$19=1,"Para nuevos negocios emitidos a partir del 1 de enero de  2025",IF($T$19=2,"Para renovaciones de pólizas vendidas entre el 1ro de enero y el 31 de diciembre de 2020",IF($T$19=3,"Para renovaciones de pólizas vendidas entre el 1ro de enero y el 31 de diciembre de 2021",IF($T$19=4,"Para renovaciones de pólizas vendidas entre el 1ro de mayo y el 31 de agosto de 2023", ""))))</f>
        <v/>
      </c>
      <c r="M44" s="409"/>
      <c r="N44" s="350"/>
      <c r="O44" s="10"/>
      <c r="P44" s="10"/>
      <c r="Q44" s="10"/>
      <c r="R44" s="10"/>
      <c r="S44" s="10"/>
      <c r="T44" s="10"/>
      <c r="U44" s="154">
        <v>0</v>
      </c>
      <c r="V44" s="154">
        <v>0</v>
      </c>
      <c r="W44" s="154">
        <v>0</v>
      </c>
      <c r="X44" s="154"/>
      <c r="Y44" s="154"/>
      <c r="Z44" s="387"/>
      <c r="AA44" s="387"/>
      <c r="AB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  <c r="IU44" s="10"/>
      <c r="IV44" s="10"/>
      <c r="IW44" s="10"/>
      <c r="IX44" s="10"/>
      <c r="IY44" s="10"/>
      <c r="IZ44" s="10"/>
      <c r="JA44" s="10"/>
      <c r="JB44" s="10"/>
      <c r="JC44" s="10"/>
      <c r="JD44" s="10"/>
      <c r="JE44" s="10"/>
      <c r="JF44" s="10"/>
      <c r="JG44" s="10"/>
      <c r="JH44" s="10"/>
      <c r="JI44" s="10"/>
      <c r="JJ44" s="10"/>
      <c r="JK44" s="10"/>
      <c r="JL44" s="10"/>
      <c r="JM44" s="10"/>
      <c r="JN44" s="10"/>
      <c r="JO44" s="10"/>
      <c r="JP44" s="10"/>
      <c r="JQ44" s="10"/>
      <c r="JR44" s="10"/>
      <c r="JS44" s="10"/>
      <c r="JT44" s="10"/>
    </row>
    <row r="45" spans="1:280" x14ac:dyDescent="0.2">
      <c r="A45" s="429" t="s">
        <v>43</v>
      </c>
      <c r="B45" s="429"/>
      <c r="C45" s="8">
        <v>32</v>
      </c>
      <c r="L45" s="410"/>
      <c r="M45" s="411"/>
      <c r="N45" s="350"/>
      <c r="O45" s="419" t="s">
        <v>44</v>
      </c>
      <c r="P45" s="420"/>
      <c r="Q45" s="420"/>
      <c r="R45" s="420"/>
      <c r="S45" s="421"/>
      <c r="T45" s="36"/>
      <c r="U45" s="10"/>
      <c r="V45" s="10"/>
      <c r="W45" s="10"/>
      <c r="X45" s="10"/>
      <c r="Y45" s="10"/>
      <c r="Z45" s="10"/>
      <c r="AA45" s="10"/>
      <c r="AB45" s="10"/>
      <c r="HZ45" s="10"/>
      <c r="IA45" s="10"/>
      <c r="IB45" s="10"/>
      <c r="IC45" s="10"/>
      <c r="ID45" s="10"/>
      <c r="IE45" s="10"/>
      <c r="IF45" s="10"/>
      <c r="IG45" s="10"/>
      <c r="IH45" s="10"/>
      <c r="II45" s="10"/>
      <c r="IJ45" s="10"/>
      <c r="IK45" s="10"/>
      <c r="IL45" s="10"/>
      <c r="IM45" s="10"/>
      <c r="IN45" s="10"/>
      <c r="IO45" s="10"/>
      <c r="IP45" s="10"/>
      <c r="IQ45" s="10"/>
      <c r="IR45" s="10"/>
      <c r="IS45" s="10"/>
      <c r="IT45" s="10"/>
      <c r="IU45" s="10"/>
      <c r="IV45" s="10"/>
      <c r="IW45" s="10"/>
      <c r="IX45" s="10"/>
      <c r="IY45" s="10"/>
      <c r="IZ45" s="10"/>
      <c r="JA45" s="10"/>
      <c r="JB45" s="10"/>
      <c r="JC45" s="10"/>
      <c r="JD45" s="10"/>
      <c r="JE45" s="10"/>
      <c r="JF45" s="10"/>
      <c r="JG45" s="10"/>
      <c r="JH45" s="10"/>
      <c r="JI45" s="10"/>
      <c r="JJ45" s="10"/>
      <c r="JK45" s="10"/>
      <c r="JL45" s="10"/>
      <c r="JM45" s="10"/>
      <c r="JN45" s="10"/>
      <c r="JO45" s="10"/>
      <c r="JP45" s="10"/>
      <c r="JQ45" s="10"/>
      <c r="JR45" s="10"/>
      <c r="JS45" s="10"/>
      <c r="JT45" s="10"/>
    </row>
    <row r="46" spans="1:280" x14ac:dyDescent="0.2">
      <c r="E46" s="31"/>
      <c r="F46" s="31"/>
      <c r="G46" s="31"/>
      <c r="H46" s="31"/>
      <c r="I46" s="31"/>
      <c r="J46" s="31"/>
      <c r="K46" s="31"/>
      <c r="L46" s="410"/>
      <c r="M46" s="411"/>
      <c r="N46" s="350"/>
      <c r="O46" s="57" t="s">
        <v>25</v>
      </c>
      <c r="P46" s="57" t="s">
        <v>26</v>
      </c>
      <c r="Q46" s="57" t="s">
        <v>27</v>
      </c>
      <c r="R46" s="192"/>
      <c r="S46" s="192"/>
      <c r="T46" s="34"/>
      <c r="U46" s="400" t="s">
        <v>45</v>
      </c>
      <c r="V46" s="400"/>
      <c r="W46" s="400"/>
      <c r="X46" s="400"/>
      <c r="Y46" s="400"/>
      <c r="Z46" s="382"/>
      <c r="AA46" s="382"/>
      <c r="AB46" s="10"/>
      <c r="HZ46" s="10"/>
      <c r="IA46" s="10"/>
      <c r="IB46" s="10"/>
      <c r="IC46" s="10"/>
      <c r="ID46" s="10"/>
      <c r="IE46" s="10"/>
      <c r="IF46" s="10"/>
      <c r="IG46" s="10"/>
      <c r="IH46" s="10"/>
      <c r="II46" s="10"/>
      <c r="IJ46" s="10"/>
      <c r="IK46" s="10"/>
      <c r="IL46" s="10"/>
      <c r="IM46" s="10"/>
      <c r="IN46" s="10"/>
      <c r="IO46" s="10"/>
      <c r="IP46" s="10"/>
      <c r="IQ46" s="10"/>
      <c r="IR46" s="10"/>
      <c r="IS46" s="10"/>
      <c r="IT46" s="10"/>
      <c r="IU46" s="10"/>
      <c r="IV46" s="10"/>
      <c r="IW46" s="10"/>
      <c r="IX46" s="10"/>
      <c r="IY46" s="10"/>
      <c r="IZ46" s="10"/>
      <c r="JA46" s="10"/>
      <c r="JB46" s="10"/>
      <c r="JC46" s="10"/>
      <c r="JD46" s="10"/>
      <c r="JE46" s="10"/>
      <c r="JF46" s="10"/>
      <c r="JG46" s="10"/>
      <c r="JH46" s="10"/>
      <c r="JI46" s="10"/>
      <c r="JJ46" s="10"/>
      <c r="JK46" s="10"/>
      <c r="JL46" s="10"/>
      <c r="JM46" s="10"/>
      <c r="JN46" s="10"/>
      <c r="JO46" s="10"/>
      <c r="JP46" s="10"/>
      <c r="JQ46" s="10"/>
      <c r="JR46" s="10"/>
      <c r="JS46" s="10"/>
      <c r="JT46" s="10"/>
    </row>
    <row r="47" spans="1:280" ht="19" thickBot="1" x14ac:dyDescent="0.25">
      <c r="A47" s="9"/>
      <c r="B47" s="9"/>
      <c r="C47" s="9"/>
      <c r="D47" s="9"/>
      <c r="E47" s="32"/>
      <c r="F47" s="32"/>
      <c r="G47" s="32"/>
      <c r="H47" s="32"/>
      <c r="I47" s="32"/>
      <c r="J47" s="32"/>
      <c r="K47" s="32"/>
      <c r="L47" s="412"/>
      <c r="M47" s="413"/>
      <c r="N47" s="350"/>
      <c r="O47" s="194">
        <f>(1-O39)*$P$30</f>
        <v>1</v>
      </c>
      <c r="P47" s="194">
        <f>(1-P39)*$P$30</f>
        <v>1</v>
      </c>
      <c r="Q47" s="194">
        <f>(1-Q39)*$P$30</f>
        <v>1</v>
      </c>
      <c r="R47" s="194"/>
      <c r="S47" s="193"/>
      <c r="T47" s="37"/>
      <c r="U47" s="157">
        <v>250</v>
      </c>
      <c r="V47" s="157">
        <v>500</v>
      </c>
      <c r="W47" s="157">
        <v>1000</v>
      </c>
      <c r="X47" s="157">
        <v>2000</v>
      </c>
      <c r="Y47" s="157">
        <v>5000</v>
      </c>
      <c r="Z47" s="157">
        <v>10000</v>
      </c>
      <c r="AA47" s="157">
        <v>20000</v>
      </c>
      <c r="HZ47" s="10"/>
      <c r="IA47" s="10"/>
      <c r="IB47" s="10"/>
      <c r="IC47" s="10"/>
      <c r="ID47" s="10"/>
      <c r="IE47" s="10"/>
      <c r="IF47" s="10"/>
      <c r="IG47" s="10"/>
      <c r="IH47" s="10"/>
      <c r="II47" s="10"/>
      <c r="IJ47" s="10"/>
      <c r="IK47" s="10"/>
      <c r="IL47" s="10"/>
      <c r="IM47" s="10"/>
      <c r="IN47" s="10"/>
      <c r="IO47" s="10"/>
      <c r="IP47" s="10"/>
      <c r="IQ47" s="10"/>
      <c r="IR47" s="10"/>
      <c r="IS47" s="10"/>
      <c r="IT47" s="10"/>
      <c r="IU47" s="10"/>
      <c r="IV47" s="10"/>
      <c r="IW47" s="10"/>
      <c r="IX47" s="10"/>
      <c r="IY47" s="10"/>
      <c r="IZ47" s="10"/>
      <c r="JA47" s="10"/>
      <c r="JB47" s="10"/>
      <c r="JC47" s="10"/>
      <c r="JD47" s="10"/>
      <c r="JE47" s="10"/>
      <c r="JF47" s="10"/>
      <c r="JG47" s="10"/>
      <c r="JH47" s="10"/>
      <c r="JI47" s="10"/>
      <c r="JJ47" s="10"/>
      <c r="JK47" s="10"/>
      <c r="JL47" s="10"/>
      <c r="JM47" s="10"/>
      <c r="JN47" s="10"/>
      <c r="JO47" s="10"/>
      <c r="JP47" s="10"/>
      <c r="JQ47" s="10"/>
      <c r="JR47" s="10"/>
      <c r="JS47" s="10"/>
      <c r="JT47" s="10"/>
    </row>
    <row r="48" spans="1:280" x14ac:dyDescent="0.2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350"/>
      <c r="O48" s="10"/>
      <c r="P48" s="10"/>
      <c r="Q48" s="10"/>
      <c r="R48" s="10"/>
      <c r="S48" s="10"/>
      <c r="T48" s="10"/>
      <c r="U48" s="388">
        <v>7.0000000000000007E-2</v>
      </c>
      <c r="V48" s="388">
        <v>7.0000000000000007E-2</v>
      </c>
      <c r="W48" s="388">
        <v>7.0000000000000007E-2</v>
      </c>
      <c r="X48" s="388">
        <v>7.0000000000000007E-2</v>
      </c>
      <c r="Y48" s="388">
        <v>7.0000000000000007E-2</v>
      </c>
      <c r="Z48" s="388">
        <v>0</v>
      </c>
      <c r="AA48" s="388">
        <v>0</v>
      </c>
      <c r="AB48" s="10"/>
      <c r="HZ48" s="10"/>
      <c r="IA48" s="10"/>
      <c r="IB48" s="10"/>
      <c r="IC48" s="10"/>
      <c r="ID48" s="10"/>
      <c r="IE48" s="10"/>
      <c r="IF48" s="10"/>
      <c r="IG48" s="10"/>
      <c r="IH48" s="10"/>
      <c r="II48" s="10"/>
      <c r="IJ48" s="10"/>
      <c r="IK48" s="10"/>
      <c r="IL48" s="10"/>
      <c r="IM48" s="10"/>
      <c r="IN48" s="10"/>
      <c r="IO48" s="10"/>
      <c r="IP48" s="10"/>
      <c r="IQ48" s="10"/>
      <c r="IR48" s="10"/>
      <c r="IS48" s="10"/>
      <c r="IT48" s="10"/>
      <c r="IU48" s="10"/>
      <c r="IV48" s="10"/>
      <c r="IW48" s="10"/>
      <c r="IX48" s="10"/>
      <c r="IY48" s="10"/>
      <c r="IZ48" s="10"/>
      <c r="JA48" s="10"/>
      <c r="JB48" s="10"/>
      <c r="JC48" s="10"/>
      <c r="JD48" s="10"/>
      <c r="JE48" s="10"/>
      <c r="JF48" s="10"/>
      <c r="JG48" s="10"/>
      <c r="JH48" s="10"/>
      <c r="JI48" s="10"/>
      <c r="JJ48" s="10"/>
      <c r="JK48" s="10"/>
      <c r="JL48" s="10"/>
      <c r="JM48" s="10"/>
      <c r="JN48" s="10"/>
      <c r="JO48" s="10"/>
      <c r="JP48" s="10"/>
      <c r="JQ48" s="10"/>
      <c r="JR48" s="10"/>
      <c r="JS48" s="10"/>
      <c r="JT48" s="10"/>
    </row>
    <row r="49" spans="1:280" x14ac:dyDescent="0.2">
      <c r="A49" s="431" t="s">
        <v>46</v>
      </c>
      <c r="B49" s="432"/>
      <c r="C49" s="433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35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HZ49" s="10"/>
      <c r="IA49" s="10"/>
      <c r="IB49" s="10"/>
      <c r="IC49" s="10"/>
      <c r="ID49" s="10"/>
      <c r="IE49" s="10"/>
      <c r="IF49" s="10"/>
      <c r="IG49" s="10"/>
      <c r="IH49" s="10"/>
      <c r="II49" s="10"/>
      <c r="IJ49" s="10"/>
      <c r="IK49" s="10"/>
      <c r="IL49" s="10"/>
      <c r="IM49" s="10"/>
      <c r="IN49" s="10"/>
      <c r="IO49" s="10"/>
      <c r="IP49" s="10"/>
      <c r="IQ49" s="10"/>
      <c r="IR49" s="10"/>
      <c r="IS49" s="10"/>
      <c r="IT49" s="10"/>
      <c r="IU49" s="10"/>
      <c r="IV49" s="10"/>
      <c r="IW49" s="10"/>
      <c r="IX49" s="10"/>
      <c r="IY49" s="10"/>
      <c r="IZ49" s="10"/>
      <c r="JA49" s="10"/>
      <c r="JB49" s="10"/>
      <c r="JC49" s="10"/>
      <c r="JD49" s="10"/>
      <c r="JE49" s="10"/>
      <c r="JF49" s="10"/>
      <c r="JG49" s="10"/>
      <c r="JH49" s="10"/>
      <c r="JI49" s="10"/>
      <c r="JJ49" s="10"/>
      <c r="JK49" s="10"/>
      <c r="JL49" s="10"/>
      <c r="JM49" s="10"/>
      <c r="JN49" s="10"/>
      <c r="JO49" s="10"/>
      <c r="JP49" s="10"/>
      <c r="JQ49" s="10"/>
      <c r="JR49" s="10"/>
      <c r="JS49" s="10"/>
      <c r="JT49" s="10"/>
    </row>
    <row r="50" spans="1:280" x14ac:dyDescent="0.2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350"/>
      <c r="O50" s="10"/>
      <c r="P50" s="10"/>
      <c r="Q50" s="10"/>
      <c r="R50" s="10"/>
      <c r="S50" s="10"/>
      <c r="T50" s="10"/>
      <c r="U50" s="400" t="s">
        <v>47</v>
      </c>
      <c r="V50" s="400"/>
      <c r="W50" s="400"/>
      <c r="X50" s="400"/>
      <c r="Y50" s="400"/>
      <c r="Z50" s="382"/>
      <c r="AA50" s="382"/>
      <c r="AB50" s="10"/>
      <c r="HZ50" s="10"/>
      <c r="IA50" s="10"/>
      <c r="IB50" s="10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10"/>
      <c r="IN50" s="10"/>
      <c r="IO50" s="10"/>
      <c r="IP50" s="10"/>
      <c r="IQ50" s="10"/>
      <c r="IR50" s="10"/>
      <c r="IS50" s="10"/>
      <c r="IT50" s="10"/>
      <c r="IU50" s="10"/>
      <c r="IV50" s="10"/>
      <c r="IW50" s="10"/>
      <c r="IX50" s="10"/>
      <c r="IY50" s="10"/>
      <c r="IZ50" s="10"/>
      <c r="JA50" s="10"/>
      <c r="JB50" s="10"/>
      <c r="JC50" s="10"/>
      <c r="JD50" s="10"/>
      <c r="JE50" s="10"/>
      <c r="JF50" s="10"/>
      <c r="JG50" s="10"/>
      <c r="JH50" s="10"/>
      <c r="JI50" s="10"/>
      <c r="JJ50" s="10"/>
      <c r="JK50" s="10"/>
      <c r="JL50" s="10"/>
      <c r="JM50" s="10"/>
      <c r="JN50" s="10"/>
      <c r="JO50" s="10"/>
      <c r="JP50" s="10"/>
      <c r="JQ50" s="10"/>
      <c r="JR50" s="10"/>
      <c r="JS50" s="10"/>
      <c r="JT50" s="10"/>
    </row>
    <row r="51" spans="1:280" ht="19" thickBo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350"/>
      <c r="O51" s="10"/>
      <c r="P51" s="10"/>
      <c r="Q51" s="10"/>
      <c r="R51" s="10"/>
      <c r="S51" s="10"/>
      <c r="T51" s="10"/>
      <c r="U51" s="57" t="s">
        <v>25</v>
      </c>
      <c r="V51" s="57" t="s">
        <v>26</v>
      </c>
      <c r="W51" s="57" t="s">
        <v>27</v>
      </c>
      <c r="X51" s="393"/>
      <c r="Y51" s="57"/>
      <c r="Z51" s="34"/>
      <c r="AA51" s="34"/>
      <c r="AB51" s="10"/>
      <c r="HZ51" s="10"/>
      <c r="IA51" s="10"/>
      <c r="IB51" s="10"/>
      <c r="IC51" s="10"/>
      <c r="ID51" s="10"/>
      <c r="IE51" s="10"/>
      <c r="IF51" s="10"/>
      <c r="IG51" s="10"/>
      <c r="IH51" s="10"/>
      <c r="II51" s="10"/>
      <c r="IJ51" s="10"/>
      <c r="IK51" s="10"/>
      <c r="IL51" s="10"/>
      <c r="IM51" s="10"/>
      <c r="IN51" s="10"/>
      <c r="IO51" s="10"/>
      <c r="IP51" s="10"/>
      <c r="IQ51" s="10"/>
      <c r="IR51" s="10"/>
      <c r="IS51" s="10"/>
      <c r="IT51" s="10"/>
      <c r="IU51" s="10"/>
      <c r="IV51" s="10"/>
      <c r="IW51" s="10"/>
      <c r="IX51" s="10"/>
      <c r="IY51" s="10"/>
      <c r="IZ51" s="10"/>
      <c r="JA51" s="10"/>
      <c r="JB51" s="10"/>
      <c r="JC51" s="10"/>
      <c r="JD51" s="10"/>
      <c r="JE51" s="10"/>
      <c r="JF51" s="10"/>
      <c r="JG51" s="10"/>
      <c r="JH51" s="10"/>
      <c r="JI51" s="10"/>
      <c r="JJ51" s="10"/>
      <c r="JK51" s="10"/>
      <c r="JL51" s="10"/>
      <c r="JM51" s="10"/>
      <c r="JN51" s="10"/>
      <c r="JO51" s="10"/>
      <c r="JP51" s="10"/>
      <c r="JQ51" s="10"/>
      <c r="JR51" s="10"/>
      <c r="JS51" s="10"/>
      <c r="JT51" s="10"/>
    </row>
    <row r="52" spans="1:280" ht="19" thickBo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350"/>
      <c r="O52" s="10"/>
      <c r="P52" s="10"/>
      <c r="Q52" s="10"/>
      <c r="R52" s="10"/>
      <c r="S52" s="10"/>
      <c r="T52" s="10"/>
      <c r="U52" s="154">
        <v>0</v>
      </c>
      <c r="V52" s="154">
        <v>5</v>
      </c>
      <c r="W52" s="154">
        <v>0</v>
      </c>
      <c r="X52" s="154"/>
      <c r="Y52" s="154"/>
      <c r="Z52" s="387"/>
      <c r="AA52" s="387"/>
      <c r="AB52" s="10"/>
      <c r="HZ52" s="10"/>
      <c r="IA52" s="10"/>
      <c r="IB52" s="10"/>
      <c r="IC52" s="10"/>
      <c r="ID52" s="10"/>
      <c r="IE52" s="10"/>
      <c r="IF52" s="10"/>
      <c r="IG52" s="10"/>
      <c r="IH52" s="10"/>
      <c r="II52" s="10"/>
      <c r="IJ52" s="10"/>
      <c r="IK52" s="10"/>
      <c r="IL52" s="10"/>
      <c r="IM52" s="10"/>
      <c r="IN52" s="10"/>
      <c r="IO52" s="10"/>
      <c r="IP52" s="10"/>
      <c r="IQ52" s="10"/>
      <c r="IR52" s="10"/>
      <c r="IS52" s="10"/>
      <c r="IT52" s="10"/>
      <c r="IU52" s="10"/>
      <c r="IV52" s="10"/>
      <c r="IW52" s="10"/>
      <c r="IX52" s="10"/>
      <c r="IY52" s="10"/>
      <c r="IZ52" s="10"/>
      <c r="JA52" s="10"/>
      <c r="JB52" s="10"/>
      <c r="JC52" s="10"/>
      <c r="JD52" s="10"/>
      <c r="JE52" s="10"/>
      <c r="JF52" s="10"/>
      <c r="JG52" s="10"/>
      <c r="JH52" s="10"/>
      <c r="JI52" s="10"/>
      <c r="JJ52" s="10"/>
      <c r="JK52" s="10"/>
      <c r="JL52" s="10"/>
      <c r="JM52" s="10"/>
      <c r="JN52" s="10"/>
      <c r="JO52" s="10"/>
      <c r="JP52" s="10"/>
      <c r="JQ52" s="10"/>
      <c r="JR52" s="10"/>
      <c r="JS52" s="10"/>
      <c r="JT52" s="10"/>
    </row>
    <row r="53" spans="1:280" x14ac:dyDescent="0.2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35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HZ53" s="10"/>
      <c r="IA53" s="10"/>
      <c r="IB53" s="10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10"/>
      <c r="IN53" s="10"/>
      <c r="IO53" s="10"/>
      <c r="IP53" s="10"/>
      <c r="IQ53" s="10"/>
      <c r="IR53" s="10"/>
      <c r="IS53" s="10"/>
      <c r="IT53" s="10"/>
      <c r="IU53" s="10"/>
      <c r="IV53" s="10"/>
      <c r="IW53" s="10"/>
      <c r="IX53" s="10"/>
      <c r="IY53" s="10"/>
      <c r="IZ53" s="10"/>
      <c r="JA53" s="10"/>
      <c r="JB53" s="10"/>
      <c r="JC53" s="10"/>
      <c r="JD53" s="10"/>
      <c r="JE53" s="10"/>
      <c r="JF53" s="10"/>
      <c r="JG53" s="10"/>
      <c r="JH53" s="10"/>
      <c r="JI53" s="10"/>
      <c r="JJ53" s="10"/>
      <c r="JK53" s="10"/>
      <c r="JL53" s="10"/>
      <c r="JM53" s="10"/>
      <c r="JN53" s="10"/>
      <c r="JO53" s="10"/>
      <c r="JP53" s="10"/>
      <c r="JQ53" s="10"/>
      <c r="JR53" s="10"/>
      <c r="JS53" s="10"/>
      <c r="JT53" s="10"/>
    </row>
    <row r="54" spans="1:280" x14ac:dyDescent="0.2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350"/>
      <c r="O54" s="10"/>
      <c r="P54" s="10"/>
      <c r="Q54" s="10"/>
      <c r="R54" s="10"/>
      <c r="S54" s="10"/>
      <c r="T54" s="10"/>
      <c r="U54" s="400" t="s">
        <v>48</v>
      </c>
      <c r="V54" s="400"/>
      <c r="W54" s="400"/>
      <c r="X54" s="400"/>
      <c r="Y54" s="400"/>
      <c r="Z54" s="382"/>
      <c r="AA54" s="382"/>
      <c r="AB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  <c r="IU54" s="10"/>
      <c r="IV54" s="10"/>
      <c r="IW54" s="10"/>
      <c r="IX54" s="10"/>
      <c r="IY54" s="10"/>
      <c r="IZ54" s="10"/>
      <c r="JA54" s="10"/>
      <c r="JB54" s="10"/>
      <c r="JC54" s="10"/>
      <c r="JD54" s="10"/>
      <c r="JE54" s="10"/>
      <c r="JF54" s="10"/>
      <c r="JG54" s="10"/>
      <c r="JH54" s="10"/>
      <c r="JI54" s="10"/>
      <c r="JJ54" s="10"/>
      <c r="JK54" s="10"/>
      <c r="JL54" s="10"/>
      <c r="JM54" s="10"/>
      <c r="JN54" s="10"/>
      <c r="JO54" s="10"/>
      <c r="JP54" s="10"/>
      <c r="JQ54" s="10"/>
      <c r="JR54" s="10"/>
      <c r="JS54" s="10"/>
      <c r="JT54" s="10"/>
    </row>
    <row r="55" spans="1:280" x14ac:dyDescent="0.2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350"/>
      <c r="O55" s="10"/>
      <c r="P55" s="10"/>
      <c r="Q55" s="10"/>
      <c r="R55" s="10"/>
      <c r="S55" s="10"/>
      <c r="T55" s="10"/>
      <c r="U55" s="157">
        <v>250</v>
      </c>
      <c r="V55" s="157">
        <v>500</v>
      </c>
      <c r="W55" s="157">
        <v>1000</v>
      </c>
      <c r="X55" s="157">
        <v>2000</v>
      </c>
      <c r="Y55" s="157">
        <v>5000</v>
      </c>
      <c r="Z55" s="157">
        <v>10000</v>
      </c>
      <c r="AA55" s="157">
        <v>20000</v>
      </c>
      <c r="AB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  <c r="IU55" s="10"/>
      <c r="IV55" s="10"/>
      <c r="IW55" s="10"/>
      <c r="IX55" s="10"/>
      <c r="IY55" s="10"/>
      <c r="IZ55" s="10"/>
      <c r="JA55" s="10"/>
      <c r="JB55" s="10"/>
      <c r="JC55" s="10"/>
      <c r="JD55" s="10"/>
      <c r="JE55" s="10"/>
      <c r="JF55" s="10"/>
      <c r="JG55" s="10"/>
      <c r="JH55" s="10"/>
      <c r="JI55" s="10"/>
      <c r="JJ55" s="10"/>
      <c r="JK55" s="10"/>
      <c r="JL55" s="10"/>
      <c r="JM55" s="10"/>
      <c r="JN55" s="10"/>
      <c r="JO55" s="10"/>
      <c r="JP55" s="10"/>
      <c r="JQ55" s="10"/>
      <c r="JR55" s="10"/>
      <c r="JS55" s="10"/>
      <c r="JT55" s="10"/>
    </row>
    <row r="56" spans="1:280" x14ac:dyDescent="0.2">
      <c r="A56" s="10"/>
      <c r="B56" s="10"/>
      <c r="C56" s="10"/>
      <c r="D56" s="427"/>
      <c r="E56" s="427"/>
      <c r="F56" s="10"/>
      <c r="G56" s="427"/>
      <c r="H56" s="427"/>
      <c r="I56" s="10"/>
      <c r="J56" s="10"/>
      <c r="K56" s="10"/>
      <c r="L56" s="10"/>
      <c r="M56" s="10"/>
      <c r="N56" s="350"/>
      <c r="O56" s="10"/>
      <c r="P56" s="10"/>
      <c r="Q56" s="10"/>
      <c r="R56" s="10"/>
      <c r="S56" s="10"/>
      <c r="T56" s="10"/>
      <c r="U56" s="388">
        <v>7.0000000000000007E-2</v>
      </c>
      <c r="V56" s="388">
        <v>7.0000000000000007E-2</v>
      </c>
      <c r="W56" s="388">
        <v>7.0000000000000007E-2</v>
      </c>
      <c r="X56" s="388">
        <v>7.0000000000000007E-2</v>
      </c>
      <c r="Y56" s="388">
        <v>7.0000000000000007E-2</v>
      </c>
      <c r="Z56" s="388">
        <v>0</v>
      </c>
      <c r="AA56" s="388">
        <v>0</v>
      </c>
      <c r="AB56" s="10"/>
      <c r="HZ56" s="10"/>
      <c r="IA56" s="10"/>
      <c r="IB56" s="10"/>
      <c r="IC56" s="10"/>
      <c r="ID56" s="10"/>
      <c r="IE56" s="10"/>
      <c r="IF56" s="10"/>
      <c r="IG56" s="10"/>
      <c r="IH56" s="10"/>
      <c r="II56" s="10"/>
      <c r="IJ56" s="10"/>
      <c r="IK56" s="10"/>
      <c r="IL56" s="10"/>
      <c r="IM56" s="10"/>
      <c r="IN56" s="10"/>
      <c r="IO56" s="10"/>
      <c r="IP56" s="10"/>
      <c r="IQ56" s="10"/>
      <c r="IR56" s="10"/>
      <c r="IS56" s="10"/>
      <c r="IT56" s="10"/>
      <c r="IU56" s="10"/>
      <c r="IV56" s="10"/>
      <c r="IW56" s="10"/>
      <c r="IX56" s="10"/>
      <c r="IY56" s="10"/>
      <c r="IZ56" s="10"/>
      <c r="JA56" s="10"/>
      <c r="JB56" s="10"/>
      <c r="JC56" s="10"/>
      <c r="JD56" s="10"/>
      <c r="JE56" s="10"/>
      <c r="JF56" s="10"/>
      <c r="JG56" s="10"/>
      <c r="JH56" s="10"/>
      <c r="JI56" s="10"/>
      <c r="JJ56" s="10"/>
      <c r="JK56" s="10"/>
      <c r="JL56" s="10"/>
      <c r="JM56" s="10"/>
      <c r="JN56" s="10"/>
      <c r="JO56" s="10"/>
      <c r="JP56" s="10"/>
      <c r="JQ56" s="10"/>
      <c r="JR56" s="10"/>
      <c r="JS56" s="10"/>
      <c r="JT56" s="10"/>
    </row>
    <row r="57" spans="1:280" x14ac:dyDescent="0.2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350"/>
      <c r="O57" s="10"/>
      <c r="P57" s="10"/>
      <c r="Q57" s="10"/>
      <c r="R57" s="401" t="s">
        <v>49</v>
      </c>
      <c r="S57" s="402"/>
      <c r="T57" s="10"/>
      <c r="U57" s="10"/>
      <c r="V57" s="10"/>
      <c r="W57" s="10"/>
      <c r="X57" s="10"/>
      <c r="Y57" s="10"/>
      <c r="Z57" s="10"/>
      <c r="AA57" s="10"/>
      <c r="AB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  <c r="IU57" s="10"/>
      <c r="IV57" s="10"/>
      <c r="IW57" s="10"/>
      <c r="IX57" s="10"/>
      <c r="IY57" s="10"/>
      <c r="IZ57" s="10"/>
      <c r="JA57" s="10"/>
      <c r="JB57" s="10"/>
      <c r="JC57" s="10"/>
      <c r="JD57" s="10"/>
      <c r="JE57" s="10"/>
      <c r="JF57" s="10"/>
      <c r="JG57" s="10"/>
      <c r="JH57" s="10"/>
      <c r="JI57" s="10"/>
      <c r="JJ57" s="10"/>
      <c r="JK57" s="10"/>
      <c r="JL57" s="10"/>
      <c r="JM57" s="10"/>
      <c r="JN57" s="10"/>
      <c r="JO57" s="10"/>
      <c r="JP57" s="10"/>
      <c r="JQ57" s="10"/>
      <c r="JR57" s="10"/>
      <c r="JS57" s="10"/>
      <c r="JT57" s="10"/>
    </row>
    <row r="58" spans="1:280" x14ac:dyDescent="0.2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350"/>
      <c r="O58" s="10"/>
      <c r="P58" s="10"/>
      <c r="Q58" s="10"/>
      <c r="R58" s="403"/>
      <c r="S58" s="404"/>
      <c r="T58" s="10"/>
      <c r="U58" s="10"/>
      <c r="V58" s="10"/>
      <c r="W58" s="10"/>
      <c r="X58" s="10"/>
      <c r="Y58" s="10"/>
      <c r="Z58" s="10"/>
      <c r="AA58" s="10"/>
      <c r="AB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  <c r="IU58" s="10"/>
      <c r="IV58" s="10"/>
      <c r="IW58" s="10"/>
      <c r="IX58" s="10"/>
      <c r="IY58" s="10"/>
      <c r="IZ58" s="10"/>
      <c r="JA58" s="10"/>
      <c r="JB58" s="10"/>
      <c r="JC58" s="10"/>
      <c r="JD58" s="10"/>
      <c r="JE58" s="10"/>
      <c r="JF58" s="10"/>
      <c r="JG58" s="10"/>
      <c r="JH58" s="10"/>
      <c r="JI58" s="10"/>
      <c r="JJ58" s="10"/>
      <c r="JK58" s="10"/>
      <c r="JL58" s="10"/>
      <c r="JM58" s="10"/>
      <c r="JN58" s="10"/>
      <c r="JO58" s="10"/>
      <c r="JP58" s="10"/>
      <c r="JQ58" s="10"/>
      <c r="JR58" s="10"/>
      <c r="JS58" s="10"/>
      <c r="JT58" s="10"/>
    </row>
    <row r="59" spans="1:280" x14ac:dyDescent="0.2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350"/>
      <c r="O59" s="10"/>
      <c r="P59" s="10"/>
      <c r="Q59" s="10"/>
      <c r="R59" s="403"/>
      <c r="S59" s="404"/>
      <c r="T59" s="10"/>
      <c r="U59" s="10"/>
      <c r="V59" s="10"/>
      <c r="W59" s="10"/>
      <c r="X59" s="10"/>
      <c r="Y59" s="10"/>
      <c r="Z59" s="10"/>
      <c r="AA59" s="10"/>
      <c r="AB59" s="10"/>
      <c r="HZ59" s="10"/>
      <c r="IA59" s="10"/>
      <c r="IB59" s="10"/>
      <c r="IC59" s="10"/>
      <c r="ID59" s="10"/>
      <c r="IE59" s="10"/>
      <c r="IF59" s="10"/>
      <c r="IG59" s="10"/>
      <c r="IH59" s="10"/>
      <c r="II59" s="10"/>
      <c r="IJ59" s="10"/>
      <c r="IK59" s="10"/>
      <c r="IL59" s="10"/>
      <c r="IM59" s="10"/>
      <c r="IN59" s="10"/>
      <c r="IO59" s="10"/>
      <c r="IP59" s="10"/>
      <c r="IQ59" s="10"/>
      <c r="IR59" s="10"/>
      <c r="IS59" s="10"/>
      <c r="IT59" s="10"/>
      <c r="IU59" s="10"/>
      <c r="IV59" s="10"/>
      <c r="IW59" s="10"/>
      <c r="IX59" s="10"/>
      <c r="IY59" s="10"/>
      <c r="IZ59" s="10"/>
      <c r="JA59" s="10"/>
      <c r="JB59" s="10"/>
      <c r="JC59" s="10"/>
      <c r="JD59" s="10"/>
      <c r="JE59" s="10"/>
      <c r="JF59" s="10"/>
      <c r="JG59" s="10"/>
      <c r="JH59" s="10"/>
      <c r="JI59" s="10"/>
      <c r="JJ59" s="10"/>
      <c r="JK59" s="10"/>
      <c r="JL59" s="10"/>
      <c r="JM59" s="10"/>
      <c r="JN59" s="10"/>
      <c r="JO59" s="10"/>
      <c r="JP59" s="10"/>
      <c r="JQ59" s="10"/>
      <c r="JR59" s="10"/>
      <c r="JS59" s="10"/>
      <c r="JT59" s="10"/>
    </row>
    <row r="60" spans="1:280" x14ac:dyDescent="0.2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350"/>
      <c r="O60" s="10"/>
      <c r="P60" s="10"/>
      <c r="Q60" s="10"/>
      <c r="R60" s="405">
        <v>0</v>
      </c>
      <c r="S60" s="406"/>
      <c r="T60" s="10"/>
      <c r="U60" s="10"/>
      <c r="V60" s="10"/>
      <c r="W60" s="10"/>
      <c r="X60" s="10"/>
      <c r="Y60" s="10"/>
      <c r="Z60" s="10"/>
      <c r="AA60" s="10"/>
      <c r="AB60" s="10"/>
      <c r="HZ60" s="10"/>
      <c r="IA60" s="10"/>
      <c r="IB60" s="10"/>
      <c r="IC60" s="10"/>
      <c r="ID60" s="10"/>
      <c r="IE60" s="10"/>
      <c r="IF60" s="10"/>
      <c r="IG60" s="10"/>
      <c r="IH60" s="10"/>
      <c r="II60" s="10"/>
      <c r="IJ60" s="10"/>
      <c r="IK60" s="10"/>
      <c r="IL60" s="10"/>
      <c r="IM60" s="10"/>
      <c r="IN60" s="10"/>
      <c r="IO60" s="10"/>
      <c r="IP60" s="10"/>
      <c r="IQ60" s="10"/>
      <c r="IR60" s="10"/>
      <c r="IS60" s="10"/>
      <c r="IT60" s="10"/>
      <c r="IU60" s="10"/>
      <c r="IV60" s="10"/>
      <c r="IW60" s="10"/>
      <c r="IX60" s="10"/>
      <c r="IY60" s="10"/>
      <c r="IZ60" s="10"/>
      <c r="JA60" s="10"/>
      <c r="JB60" s="10"/>
      <c r="JC60" s="10"/>
      <c r="JD60" s="10"/>
      <c r="JE60" s="10"/>
      <c r="JF60" s="10"/>
      <c r="JG60" s="10"/>
      <c r="JH60" s="10"/>
      <c r="JI60" s="10"/>
      <c r="JJ60" s="10"/>
      <c r="JK60" s="10"/>
      <c r="JL60" s="10"/>
      <c r="JM60" s="10"/>
      <c r="JN60" s="10"/>
      <c r="JO60" s="10"/>
      <c r="JP60" s="10"/>
      <c r="JQ60" s="10"/>
      <c r="JR60" s="10"/>
      <c r="JS60" s="10"/>
      <c r="JT60" s="10"/>
    </row>
    <row r="61" spans="1:280" x14ac:dyDescent="0.2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35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HZ61" s="10"/>
      <c r="IA61" s="10"/>
      <c r="IB61" s="10"/>
      <c r="IC61" s="10"/>
      <c r="ID61" s="10"/>
      <c r="IE61" s="10"/>
      <c r="IF61" s="10"/>
      <c r="IG61" s="10"/>
      <c r="IH61" s="10"/>
      <c r="II61" s="10"/>
      <c r="IJ61" s="10"/>
      <c r="IK61" s="10"/>
      <c r="IL61" s="10"/>
      <c r="IM61" s="10"/>
      <c r="IN61" s="10"/>
      <c r="IO61" s="10"/>
      <c r="IP61" s="10"/>
      <c r="IQ61" s="10"/>
      <c r="IR61" s="10"/>
      <c r="IS61" s="10"/>
      <c r="IT61" s="10"/>
      <c r="IU61" s="10"/>
      <c r="IV61" s="10"/>
      <c r="IW61" s="10"/>
      <c r="IX61" s="10"/>
      <c r="IY61" s="10"/>
      <c r="IZ61" s="10"/>
      <c r="JA61" s="10"/>
      <c r="JB61" s="10"/>
      <c r="JC61" s="10"/>
      <c r="JD61" s="10"/>
      <c r="JE61" s="10"/>
      <c r="JF61" s="10"/>
      <c r="JG61" s="10"/>
      <c r="JH61" s="10"/>
      <c r="JI61" s="10"/>
      <c r="JJ61" s="10"/>
      <c r="JK61" s="10"/>
      <c r="JL61" s="10"/>
      <c r="JM61" s="10"/>
      <c r="JN61" s="10"/>
      <c r="JO61" s="10"/>
      <c r="JP61" s="10"/>
      <c r="JQ61" s="10"/>
      <c r="JR61" s="10"/>
      <c r="JS61" s="10"/>
      <c r="JT61" s="10"/>
    </row>
    <row r="62" spans="1:280" ht="18" customHeight="1" x14ac:dyDescent="0.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350"/>
      <c r="O62" s="10"/>
      <c r="P62" s="10"/>
      <c r="Q62" s="10"/>
      <c r="R62" s="394" t="s">
        <v>50</v>
      </c>
      <c r="S62" s="395"/>
      <c r="T62" s="10"/>
      <c r="U62" s="10"/>
      <c r="V62" s="10"/>
      <c r="W62" s="10"/>
      <c r="X62" s="10"/>
      <c r="Y62" s="10"/>
      <c r="Z62" s="10"/>
      <c r="AA62" s="10"/>
      <c r="AB62" s="10"/>
      <c r="HZ62" s="10"/>
      <c r="IA62" s="10"/>
      <c r="IB62" s="10"/>
      <c r="IC62" s="10"/>
      <c r="ID62" s="10"/>
      <c r="IE62" s="10"/>
      <c r="IF62" s="10"/>
      <c r="IG62" s="10"/>
      <c r="IH62" s="10"/>
      <c r="II62" s="10"/>
      <c r="IJ62" s="10"/>
      <c r="IK62" s="10"/>
      <c r="IL62" s="10"/>
      <c r="IM62" s="10"/>
      <c r="IN62" s="10"/>
      <c r="IO62" s="10"/>
      <c r="IP62" s="10"/>
      <c r="IQ62" s="10"/>
      <c r="IR62" s="10"/>
      <c r="IS62" s="10"/>
      <c r="IT62" s="10"/>
      <c r="IU62" s="10"/>
      <c r="IV62" s="10"/>
      <c r="IW62" s="10"/>
      <c r="IX62" s="10"/>
      <c r="IY62" s="10"/>
      <c r="IZ62" s="10"/>
      <c r="JA62" s="10"/>
      <c r="JB62" s="10"/>
      <c r="JC62" s="10"/>
      <c r="JD62" s="10"/>
      <c r="JE62" s="10"/>
      <c r="JF62" s="10"/>
      <c r="JG62" s="10"/>
      <c r="JH62" s="10"/>
      <c r="JI62" s="10"/>
      <c r="JJ62" s="10"/>
      <c r="JK62" s="10"/>
      <c r="JL62" s="10"/>
      <c r="JM62" s="10"/>
      <c r="JN62" s="10"/>
      <c r="JO62" s="10"/>
      <c r="JP62" s="10"/>
      <c r="JQ62" s="10"/>
      <c r="JR62" s="10"/>
      <c r="JS62" s="10"/>
      <c r="JT62" s="10"/>
    </row>
    <row r="63" spans="1:280" x14ac:dyDescent="0.2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350"/>
      <c r="O63" s="10"/>
      <c r="P63" s="10"/>
      <c r="Q63" s="10"/>
      <c r="R63" s="396"/>
      <c r="S63" s="397"/>
      <c r="T63" s="10"/>
      <c r="U63" s="10"/>
      <c r="V63" s="10"/>
      <c r="W63" s="10"/>
      <c r="X63" s="10"/>
      <c r="Y63" s="10"/>
      <c r="Z63" s="10"/>
      <c r="AA63" s="10"/>
      <c r="AB63" s="10"/>
      <c r="HZ63" s="10"/>
      <c r="IA63" s="10"/>
      <c r="IB63" s="10"/>
      <c r="IC63" s="10"/>
      <c r="ID63" s="10"/>
      <c r="IE63" s="10"/>
      <c r="IF63" s="10"/>
      <c r="IG63" s="10"/>
      <c r="IH63" s="10"/>
      <c r="II63" s="10"/>
      <c r="IJ63" s="10"/>
      <c r="IK63" s="10"/>
      <c r="IL63" s="10"/>
      <c r="IM63" s="10"/>
      <c r="IN63" s="10"/>
      <c r="IO63" s="10"/>
      <c r="IP63" s="10"/>
      <c r="IQ63" s="10"/>
      <c r="IR63" s="10"/>
      <c r="IS63" s="10"/>
      <c r="IT63" s="10"/>
      <c r="IU63" s="10"/>
      <c r="IV63" s="10"/>
      <c r="IW63" s="10"/>
      <c r="IX63" s="10"/>
      <c r="IY63" s="10"/>
      <c r="IZ63" s="10"/>
      <c r="JA63" s="10"/>
      <c r="JB63" s="10"/>
      <c r="JC63" s="10"/>
      <c r="JD63" s="10"/>
      <c r="JE63" s="10"/>
      <c r="JF63" s="10"/>
      <c r="JG63" s="10"/>
      <c r="JH63" s="10"/>
      <c r="JI63" s="10"/>
      <c r="JJ63" s="10"/>
      <c r="JK63" s="10"/>
      <c r="JL63" s="10"/>
      <c r="JM63" s="10"/>
      <c r="JN63" s="10"/>
      <c r="JO63" s="10"/>
      <c r="JP63" s="10"/>
      <c r="JQ63" s="10"/>
      <c r="JR63" s="10"/>
      <c r="JS63" s="10"/>
      <c r="JT63" s="10"/>
    </row>
    <row r="64" spans="1:280" x14ac:dyDescent="0.2">
      <c r="A64" s="10"/>
      <c r="B64" s="10"/>
      <c r="C64" s="11"/>
      <c r="D64" s="11"/>
      <c r="E64" s="11"/>
      <c r="F64" s="11"/>
      <c r="G64" s="10"/>
      <c r="H64" s="10"/>
      <c r="I64" s="10"/>
      <c r="J64" s="10"/>
      <c r="K64" s="10"/>
      <c r="L64" s="10"/>
      <c r="M64" s="10"/>
      <c r="N64" s="350"/>
      <c r="O64" s="10"/>
      <c r="P64" s="10"/>
      <c r="Q64" s="10"/>
      <c r="R64" s="396"/>
      <c r="S64" s="397"/>
      <c r="T64" s="10"/>
      <c r="U64" s="10"/>
      <c r="V64" s="10"/>
      <c r="W64" s="10"/>
      <c r="X64" s="10"/>
      <c r="Y64" s="10"/>
      <c r="Z64" s="10"/>
      <c r="AA64" s="10"/>
      <c r="AB64" s="10"/>
      <c r="HZ64" s="10"/>
      <c r="IA64" s="10"/>
      <c r="IB64" s="10"/>
      <c r="IC64" s="10"/>
      <c r="ID64" s="10"/>
      <c r="IE64" s="10"/>
      <c r="IF64" s="10"/>
      <c r="IG64" s="10"/>
      <c r="IH64" s="10"/>
      <c r="II64" s="10"/>
      <c r="IJ64" s="10"/>
      <c r="IK64" s="10"/>
      <c r="IL64" s="10"/>
      <c r="IM64" s="10"/>
      <c r="IN64" s="10"/>
      <c r="IO64" s="10"/>
      <c r="IP64" s="10"/>
      <c r="IQ64" s="10"/>
      <c r="IR64" s="10"/>
      <c r="IS64" s="10"/>
      <c r="IT64" s="10"/>
      <c r="IU64" s="10"/>
      <c r="IV64" s="10"/>
      <c r="IW64" s="10"/>
      <c r="IX64" s="10"/>
      <c r="IY64" s="10"/>
      <c r="IZ64" s="10"/>
      <c r="JA64" s="10"/>
      <c r="JB64" s="10"/>
      <c r="JC64" s="10"/>
      <c r="JD64" s="10"/>
      <c r="JE64" s="10"/>
      <c r="JF64" s="10"/>
      <c r="JG64" s="10"/>
      <c r="JH64" s="10"/>
      <c r="JI64" s="10"/>
      <c r="JJ64" s="10"/>
      <c r="JK64" s="10"/>
      <c r="JL64" s="10"/>
      <c r="JM64" s="10"/>
      <c r="JN64" s="10"/>
      <c r="JO64" s="10"/>
      <c r="JP64" s="10"/>
      <c r="JQ64" s="10"/>
      <c r="JR64" s="10"/>
      <c r="JS64" s="10"/>
      <c r="JT64" s="10"/>
    </row>
    <row r="65" spans="1:280" x14ac:dyDescent="0.2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350"/>
      <c r="O65" s="10"/>
      <c r="P65" s="10"/>
      <c r="Q65" s="10"/>
      <c r="R65" s="398">
        <v>0</v>
      </c>
      <c r="S65" s="399"/>
      <c r="T65" s="10"/>
      <c r="U65" s="10"/>
      <c r="V65" s="10"/>
      <c r="W65" s="10"/>
      <c r="X65" s="10"/>
      <c r="Y65" s="10"/>
      <c r="Z65" s="10"/>
      <c r="AA65" s="10"/>
      <c r="AB65" s="10"/>
      <c r="HZ65" s="10"/>
      <c r="IA65" s="10"/>
      <c r="IB65" s="10"/>
      <c r="IC65" s="10"/>
      <c r="ID65" s="10"/>
      <c r="IE65" s="10"/>
      <c r="IF65" s="10"/>
      <c r="IG65" s="10"/>
      <c r="IH65" s="10"/>
      <c r="II65" s="10"/>
      <c r="IJ65" s="10"/>
      <c r="IK65" s="10"/>
      <c r="IL65" s="10"/>
      <c r="IM65" s="10"/>
      <c r="IN65" s="10"/>
      <c r="IO65" s="10"/>
      <c r="IP65" s="10"/>
      <c r="IQ65" s="10"/>
      <c r="IR65" s="10"/>
      <c r="IS65" s="10"/>
      <c r="IT65" s="10"/>
      <c r="IU65" s="10"/>
      <c r="IV65" s="10"/>
      <c r="IW65" s="10"/>
      <c r="IX65" s="10"/>
      <c r="IY65" s="10"/>
      <c r="IZ65" s="10"/>
      <c r="JA65" s="10"/>
      <c r="JB65" s="10"/>
      <c r="JC65" s="10"/>
      <c r="JD65" s="10"/>
      <c r="JE65" s="10"/>
      <c r="JF65" s="10"/>
      <c r="JG65" s="10"/>
      <c r="JH65" s="10"/>
      <c r="JI65" s="10"/>
      <c r="JJ65" s="10"/>
      <c r="JK65" s="10"/>
      <c r="JL65" s="10"/>
      <c r="JM65" s="10"/>
      <c r="JN65" s="10"/>
      <c r="JO65" s="10"/>
      <c r="JP65" s="10"/>
      <c r="JQ65" s="10"/>
      <c r="JR65" s="10"/>
      <c r="JS65" s="10"/>
      <c r="JT65" s="10"/>
    </row>
    <row r="66" spans="1:280" x14ac:dyDescent="0.2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35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HZ66" s="10"/>
      <c r="IA66" s="10"/>
      <c r="IB66" s="10"/>
      <c r="IC66" s="10"/>
      <c r="ID66" s="10"/>
      <c r="IE66" s="10"/>
      <c r="IF66" s="10"/>
      <c r="IG66" s="10"/>
      <c r="IH66" s="10"/>
      <c r="II66" s="10"/>
      <c r="IJ66" s="10"/>
      <c r="IK66" s="10"/>
      <c r="IL66" s="10"/>
      <c r="IM66" s="10"/>
      <c r="IN66" s="10"/>
      <c r="IO66" s="10"/>
      <c r="IP66" s="10"/>
      <c r="IQ66" s="10"/>
      <c r="IR66" s="10"/>
      <c r="IS66" s="10"/>
      <c r="IT66" s="10"/>
      <c r="IU66" s="10"/>
      <c r="IV66" s="10"/>
      <c r="IW66" s="10"/>
      <c r="IX66" s="10"/>
      <c r="IY66" s="10"/>
      <c r="IZ66" s="10"/>
      <c r="JA66" s="10"/>
      <c r="JB66" s="10"/>
      <c r="JC66" s="10"/>
      <c r="JD66" s="10"/>
      <c r="JE66" s="10"/>
      <c r="JF66" s="10"/>
      <c r="JG66" s="10"/>
      <c r="JH66" s="10"/>
      <c r="JI66" s="10"/>
      <c r="JJ66" s="10"/>
      <c r="JK66" s="10"/>
      <c r="JL66" s="10"/>
      <c r="JM66" s="10"/>
      <c r="JN66" s="10"/>
      <c r="JO66" s="10"/>
      <c r="JP66" s="10"/>
      <c r="JQ66" s="10"/>
      <c r="JR66" s="10"/>
      <c r="JS66" s="10"/>
      <c r="JT66" s="10"/>
    </row>
    <row r="67" spans="1:280" x14ac:dyDescent="0.2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35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HZ67" s="10"/>
      <c r="IA67" s="10"/>
      <c r="IB67" s="10"/>
      <c r="IC67" s="10"/>
      <c r="ID67" s="10"/>
      <c r="IE67" s="10"/>
      <c r="IF67" s="10"/>
      <c r="IG67" s="10"/>
      <c r="IH67" s="10"/>
      <c r="II67" s="10"/>
      <c r="IJ67" s="10"/>
      <c r="IK67" s="10"/>
      <c r="IL67" s="10"/>
      <c r="IM67" s="10"/>
      <c r="IN67" s="10"/>
      <c r="IO67" s="10"/>
      <c r="IP67" s="10"/>
      <c r="IQ67" s="10"/>
      <c r="IR67" s="10"/>
      <c r="IS67" s="10"/>
      <c r="IT67" s="10"/>
      <c r="IU67" s="10"/>
      <c r="IV67" s="10"/>
      <c r="IW67" s="10"/>
      <c r="IX67" s="10"/>
      <c r="IY67" s="10"/>
      <c r="IZ67" s="10"/>
      <c r="JA67" s="10"/>
      <c r="JB67" s="10"/>
      <c r="JC67" s="10"/>
      <c r="JD67" s="10"/>
      <c r="JE67" s="10"/>
      <c r="JF67" s="10"/>
      <c r="JG67" s="10"/>
      <c r="JH67" s="10"/>
      <c r="JI67" s="10"/>
      <c r="JJ67" s="10"/>
      <c r="JK67" s="10"/>
      <c r="JL67" s="10"/>
      <c r="JM67" s="10"/>
      <c r="JN67" s="10"/>
      <c r="JO67" s="10"/>
      <c r="JP67" s="10"/>
      <c r="JQ67" s="10"/>
      <c r="JR67" s="10"/>
      <c r="JS67" s="10"/>
      <c r="JT67" s="10"/>
    </row>
    <row r="68" spans="1:280" x14ac:dyDescent="0.2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35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HZ68" s="10"/>
      <c r="IA68" s="10"/>
      <c r="IB68" s="10"/>
      <c r="IC68" s="10"/>
      <c r="ID68" s="10"/>
      <c r="IE68" s="10"/>
      <c r="IF68" s="10"/>
      <c r="IG68" s="10"/>
      <c r="IH68" s="10"/>
      <c r="II68" s="10"/>
      <c r="IJ68" s="10"/>
      <c r="IK68" s="10"/>
      <c r="IL68" s="10"/>
      <c r="IM68" s="10"/>
      <c r="IN68" s="10"/>
      <c r="IO68" s="10"/>
      <c r="IP68" s="10"/>
      <c r="IQ68" s="10"/>
      <c r="IR68" s="10"/>
      <c r="IS68" s="10"/>
      <c r="IT68" s="10"/>
      <c r="IU68" s="10"/>
      <c r="IV68" s="10"/>
      <c r="IW68" s="10"/>
      <c r="IX68" s="10"/>
      <c r="IY68" s="10"/>
      <c r="IZ68" s="10"/>
      <c r="JA68" s="10"/>
      <c r="JB68" s="10"/>
      <c r="JC68" s="10"/>
      <c r="JD68" s="10"/>
      <c r="JE68" s="10"/>
      <c r="JF68" s="10"/>
      <c r="JG68" s="10"/>
      <c r="JH68" s="10"/>
      <c r="JI68" s="10"/>
      <c r="JJ68" s="10"/>
      <c r="JK68" s="10"/>
      <c r="JL68" s="10"/>
      <c r="JM68" s="10"/>
      <c r="JN68" s="10"/>
      <c r="JO68" s="10"/>
      <c r="JP68" s="10"/>
      <c r="JQ68" s="10"/>
      <c r="JR68" s="10"/>
      <c r="JS68" s="10"/>
      <c r="JT68" s="10"/>
    </row>
    <row r="69" spans="1:280" x14ac:dyDescent="0.2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35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HZ69" s="10"/>
      <c r="IA69" s="10"/>
      <c r="IB69" s="10"/>
      <c r="IC69" s="10"/>
      <c r="ID69" s="10"/>
      <c r="IE69" s="10"/>
      <c r="IF69" s="10"/>
      <c r="IG69" s="10"/>
      <c r="IH69" s="10"/>
      <c r="II69" s="10"/>
      <c r="IJ69" s="10"/>
      <c r="IK69" s="10"/>
      <c r="IL69" s="10"/>
      <c r="IM69" s="10"/>
      <c r="IN69" s="10"/>
      <c r="IO69" s="10"/>
      <c r="IP69" s="10"/>
      <c r="IQ69" s="10"/>
      <c r="IR69" s="10"/>
      <c r="IS69" s="10"/>
      <c r="IT69" s="10"/>
      <c r="IU69" s="10"/>
      <c r="IV69" s="10"/>
      <c r="IW69" s="10"/>
      <c r="IX69" s="10"/>
      <c r="IY69" s="10"/>
      <c r="IZ69" s="10"/>
      <c r="JA69" s="10"/>
      <c r="JB69" s="10"/>
      <c r="JC69" s="10"/>
      <c r="JD69" s="10"/>
      <c r="JE69" s="10"/>
      <c r="JF69" s="10"/>
      <c r="JG69" s="10"/>
      <c r="JH69" s="10"/>
      <c r="JI69" s="10"/>
      <c r="JJ69" s="10"/>
      <c r="JK69" s="10"/>
      <c r="JL69" s="10"/>
      <c r="JM69" s="10"/>
      <c r="JN69" s="10"/>
      <c r="JO69" s="10"/>
      <c r="JP69" s="10"/>
      <c r="JQ69" s="10"/>
      <c r="JR69" s="10"/>
      <c r="JS69" s="10"/>
      <c r="JT69" s="10"/>
    </row>
    <row r="70" spans="1:280" x14ac:dyDescent="0.2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35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HZ70" s="10"/>
      <c r="IA70" s="10"/>
      <c r="IB70" s="10"/>
      <c r="IC70" s="10"/>
      <c r="ID70" s="10"/>
      <c r="IE70" s="10"/>
      <c r="IF70" s="10"/>
      <c r="IG70" s="10"/>
      <c r="IH70" s="10"/>
      <c r="II70" s="10"/>
      <c r="IJ70" s="10"/>
      <c r="IK70" s="10"/>
      <c r="IL70" s="10"/>
      <c r="IM70" s="10"/>
      <c r="IN70" s="10"/>
      <c r="IO70" s="10"/>
      <c r="IP70" s="10"/>
      <c r="IQ70" s="10"/>
      <c r="IR70" s="10"/>
      <c r="IS70" s="10"/>
      <c r="IT70" s="10"/>
      <c r="IU70" s="10"/>
      <c r="IV70" s="10"/>
      <c r="IW70" s="10"/>
      <c r="IX70" s="10"/>
      <c r="IY70" s="10"/>
      <c r="IZ70" s="10"/>
      <c r="JA70" s="10"/>
      <c r="JB70" s="10"/>
      <c r="JC70" s="10"/>
      <c r="JD70" s="10"/>
      <c r="JE70" s="10"/>
      <c r="JF70" s="10"/>
      <c r="JG70" s="10"/>
      <c r="JH70" s="10"/>
      <c r="JI70" s="10"/>
      <c r="JJ70" s="10"/>
      <c r="JK70" s="10"/>
      <c r="JL70" s="10"/>
      <c r="JM70" s="10"/>
      <c r="JN70" s="10"/>
      <c r="JO70" s="10"/>
      <c r="JP70" s="10"/>
      <c r="JQ70" s="10"/>
      <c r="JR70" s="10"/>
      <c r="JS70" s="10"/>
      <c r="JT70" s="10"/>
    </row>
    <row r="71" spans="1:280" x14ac:dyDescent="0.2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35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HZ71" s="10"/>
      <c r="IA71" s="10"/>
      <c r="IB71" s="10"/>
      <c r="IC71" s="10"/>
      <c r="ID71" s="10"/>
      <c r="IE71" s="10"/>
      <c r="IF71" s="10"/>
      <c r="IG71" s="10"/>
      <c r="IH71" s="10"/>
      <c r="II71" s="10"/>
      <c r="IJ71" s="10"/>
      <c r="IK71" s="10"/>
      <c r="IL71" s="10"/>
      <c r="IM71" s="10"/>
      <c r="IN71" s="10"/>
      <c r="IO71" s="10"/>
      <c r="IP71" s="10"/>
      <c r="IQ71" s="10"/>
      <c r="IR71" s="10"/>
      <c r="IS71" s="10"/>
      <c r="IT71" s="10"/>
      <c r="IU71" s="10"/>
      <c r="IV71" s="10"/>
      <c r="IW71" s="10"/>
      <c r="IX71" s="10"/>
      <c r="IY71" s="10"/>
      <c r="IZ71" s="10"/>
      <c r="JA71" s="10"/>
      <c r="JB71" s="10"/>
      <c r="JC71" s="10"/>
      <c r="JD71" s="10"/>
      <c r="JE71" s="10"/>
      <c r="JF71" s="10"/>
      <c r="JG71" s="10"/>
      <c r="JH71" s="10"/>
      <c r="JI71" s="10"/>
      <c r="JJ71" s="10"/>
      <c r="JK71" s="10"/>
      <c r="JL71" s="10"/>
      <c r="JM71" s="10"/>
      <c r="JN71" s="10"/>
      <c r="JO71" s="10"/>
      <c r="JP71" s="10"/>
      <c r="JQ71" s="10"/>
      <c r="JR71" s="10"/>
      <c r="JS71" s="10"/>
      <c r="JT71" s="10"/>
    </row>
    <row r="72" spans="1:280" x14ac:dyDescent="0.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35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HZ72" s="10"/>
      <c r="IA72" s="10"/>
      <c r="IB72" s="10"/>
      <c r="IC72" s="10"/>
      <c r="ID72" s="10"/>
      <c r="IE72" s="10"/>
      <c r="IF72" s="10"/>
      <c r="IG72" s="10"/>
      <c r="IH72" s="10"/>
      <c r="II72" s="10"/>
      <c r="IJ72" s="10"/>
      <c r="IK72" s="10"/>
      <c r="IL72" s="10"/>
      <c r="IM72" s="10"/>
      <c r="IN72" s="10"/>
      <c r="IO72" s="10"/>
      <c r="IP72" s="10"/>
      <c r="IQ72" s="10"/>
      <c r="IR72" s="10"/>
      <c r="IS72" s="10"/>
      <c r="IT72" s="10"/>
      <c r="IU72" s="10"/>
      <c r="IV72" s="10"/>
      <c r="IW72" s="10"/>
      <c r="IX72" s="10"/>
      <c r="IY72" s="10"/>
      <c r="IZ72" s="10"/>
      <c r="JA72" s="10"/>
      <c r="JB72" s="10"/>
      <c r="JC72" s="10"/>
      <c r="JD72" s="10"/>
      <c r="JE72" s="10"/>
      <c r="JF72" s="10"/>
      <c r="JG72" s="10"/>
      <c r="JH72" s="10"/>
      <c r="JI72" s="10"/>
      <c r="JJ72" s="10"/>
      <c r="JK72" s="10"/>
      <c r="JL72" s="10"/>
      <c r="JM72" s="10"/>
      <c r="JN72" s="10"/>
      <c r="JO72" s="10"/>
      <c r="JP72" s="10"/>
      <c r="JQ72" s="10"/>
      <c r="JR72" s="10"/>
      <c r="JS72" s="10"/>
      <c r="JT72" s="10"/>
    </row>
    <row r="73" spans="1:280" x14ac:dyDescent="0.2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35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HZ73" s="10"/>
      <c r="IA73" s="10"/>
      <c r="IB73" s="10"/>
      <c r="IC73" s="10"/>
      <c r="ID73" s="10"/>
      <c r="IE73" s="10"/>
      <c r="IF73" s="10"/>
      <c r="IG73" s="10"/>
      <c r="IH73" s="10"/>
      <c r="II73" s="10"/>
      <c r="IJ73" s="10"/>
      <c r="IK73" s="10"/>
      <c r="IL73" s="10"/>
      <c r="IM73" s="10"/>
      <c r="IN73" s="10"/>
      <c r="IO73" s="10"/>
      <c r="IP73" s="10"/>
      <c r="IQ73" s="10"/>
      <c r="IR73" s="10"/>
      <c r="IS73" s="10"/>
      <c r="IT73" s="10"/>
      <c r="IU73" s="10"/>
      <c r="IV73" s="10"/>
      <c r="IW73" s="10"/>
      <c r="IX73" s="10"/>
      <c r="IY73" s="10"/>
      <c r="IZ73" s="10"/>
      <c r="JA73" s="10"/>
      <c r="JB73" s="10"/>
      <c r="JC73" s="10"/>
      <c r="JD73" s="10"/>
      <c r="JE73" s="10"/>
      <c r="JF73" s="10"/>
      <c r="JG73" s="10"/>
      <c r="JH73" s="10"/>
      <c r="JI73" s="10"/>
      <c r="JJ73" s="10"/>
      <c r="JK73" s="10"/>
      <c r="JL73" s="10"/>
      <c r="JM73" s="10"/>
      <c r="JN73" s="10"/>
      <c r="JO73" s="10"/>
      <c r="JP73" s="10"/>
      <c r="JQ73" s="10"/>
      <c r="JR73" s="10"/>
      <c r="JS73" s="10"/>
      <c r="JT73" s="10"/>
    </row>
    <row r="74" spans="1:280" x14ac:dyDescent="0.2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35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HZ74" s="10"/>
      <c r="IA74" s="10"/>
      <c r="IB74" s="10"/>
      <c r="IC74" s="10"/>
      <c r="ID74" s="10"/>
      <c r="IE74" s="10"/>
      <c r="IF74" s="10"/>
      <c r="IG74" s="10"/>
      <c r="IH74" s="10"/>
      <c r="II74" s="10"/>
      <c r="IJ74" s="10"/>
      <c r="IK74" s="10"/>
      <c r="IL74" s="10"/>
      <c r="IM74" s="10"/>
      <c r="IN74" s="10"/>
      <c r="IO74" s="10"/>
      <c r="IP74" s="10"/>
      <c r="IQ74" s="10"/>
      <c r="IR74" s="10"/>
      <c r="IS74" s="10"/>
      <c r="IT74" s="10"/>
      <c r="IU74" s="10"/>
      <c r="IV74" s="10"/>
      <c r="IW74" s="10"/>
      <c r="IX74" s="10"/>
      <c r="IY74" s="10"/>
      <c r="IZ74" s="10"/>
      <c r="JA74" s="10"/>
      <c r="JB74" s="10"/>
      <c r="JC74" s="10"/>
      <c r="JD74" s="10"/>
      <c r="JE74" s="10"/>
      <c r="JF74" s="10"/>
      <c r="JG74" s="10"/>
      <c r="JH74" s="10"/>
      <c r="JI74" s="10"/>
      <c r="JJ74" s="10"/>
      <c r="JK74" s="10"/>
      <c r="JL74" s="10"/>
      <c r="JM74" s="10"/>
      <c r="JN74" s="10"/>
      <c r="JO74" s="10"/>
      <c r="JP74" s="10"/>
      <c r="JQ74" s="10"/>
      <c r="JR74" s="10"/>
      <c r="JS74" s="10"/>
      <c r="JT74" s="10"/>
    </row>
    <row r="75" spans="1:280" x14ac:dyDescent="0.2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35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HZ75" s="10"/>
      <c r="IA75" s="10"/>
      <c r="IB75" s="10"/>
      <c r="IC75" s="10"/>
      <c r="ID75" s="10"/>
      <c r="IE75" s="10"/>
      <c r="IF75" s="10"/>
      <c r="IG75" s="10"/>
      <c r="IH75" s="10"/>
      <c r="II75" s="10"/>
      <c r="IJ75" s="10"/>
      <c r="IK75" s="10"/>
      <c r="IL75" s="10"/>
      <c r="IM75" s="10"/>
      <c r="IN75" s="10"/>
      <c r="IO75" s="10"/>
      <c r="IP75" s="10"/>
      <c r="IQ75" s="10"/>
      <c r="IR75" s="10"/>
      <c r="IS75" s="10"/>
      <c r="IT75" s="10"/>
      <c r="IU75" s="10"/>
      <c r="IV75" s="10"/>
      <c r="IW75" s="10"/>
      <c r="IX75" s="10"/>
      <c r="IY75" s="10"/>
      <c r="IZ75" s="10"/>
      <c r="JA75" s="10"/>
      <c r="JB75" s="10"/>
      <c r="JC75" s="10"/>
      <c r="JD75" s="10"/>
      <c r="JE75" s="10"/>
      <c r="JF75" s="10"/>
      <c r="JG75" s="10"/>
      <c r="JH75" s="10"/>
      <c r="JI75" s="10"/>
      <c r="JJ75" s="10"/>
      <c r="JK75" s="10"/>
      <c r="JL75" s="10"/>
      <c r="JM75" s="10"/>
      <c r="JN75" s="10"/>
      <c r="JO75" s="10"/>
      <c r="JP75" s="10"/>
      <c r="JQ75" s="10"/>
      <c r="JR75" s="10"/>
      <c r="JS75" s="10"/>
      <c r="JT75" s="10"/>
    </row>
    <row r="76" spans="1:280" x14ac:dyDescent="0.2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35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HZ76" s="10"/>
      <c r="IA76" s="10"/>
      <c r="IB76" s="10"/>
      <c r="IC76" s="10"/>
      <c r="ID76" s="10"/>
      <c r="IE76" s="10"/>
      <c r="IF76" s="10"/>
      <c r="IG76" s="10"/>
      <c r="IH76" s="10"/>
      <c r="II76" s="10"/>
      <c r="IJ76" s="10"/>
      <c r="IK76" s="10"/>
      <c r="IL76" s="10"/>
      <c r="IM76" s="10"/>
      <c r="IN76" s="10"/>
      <c r="IO76" s="10"/>
      <c r="IP76" s="10"/>
      <c r="IQ76" s="10"/>
      <c r="IR76" s="10"/>
      <c r="IS76" s="10"/>
      <c r="IT76" s="10"/>
      <c r="IU76" s="10"/>
      <c r="IV76" s="10"/>
      <c r="IW76" s="10"/>
      <c r="IX76" s="10"/>
      <c r="IY76" s="10"/>
      <c r="IZ76" s="10"/>
      <c r="JA76" s="10"/>
      <c r="JB76" s="10"/>
      <c r="JC76" s="10"/>
      <c r="JD76" s="10"/>
      <c r="JE76" s="10"/>
      <c r="JF76" s="10"/>
      <c r="JG76" s="10"/>
      <c r="JH76" s="10"/>
      <c r="JI76" s="10"/>
      <c r="JJ76" s="10"/>
      <c r="JK76" s="10"/>
      <c r="JL76" s="10"/>
      <c r="JM76" s="10"/>
      <c r="JN76" s="10"/>
      <c r="JO76" s="10"/>
      <c r="JP76" s="10"/>
      <c r="JQ76" s="10"/>
      <c r="JR76" s="10"/>
      <c r="JS76" s="10"/>
      <c r="JT76" s="10"/>
    </row>
    <row r="77" spans="1:280" x14ac:dyDescent="0.2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35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HZ77" s="10"/>
      <c r="IA77" s="10"/>
      <c r="IB77" s="10"/>
      <c r="IC77" s="10"/>
      <c r="ID77" s="10"/>
      <c r="IE77" s="10"/>
      <c r="IF77" s="10"/>
      <c r="IG77" s="10"/>
      <c r="IH77" s="10"/>
      <c r="II77" s="10"/>
      <c r="IJ77" s="10"/>
      <c r="IK77" s="10"/>
      <c r="IL77" s="10"/>
      <c r="IM77" s="10"/>
      <c r="IN77" s="10"/>
      <c r="IO77" s="10"/>
      <c r="IP77" s="10"/>
      <c r="IQ77" s="10"/>
      <c r="IR77" s="10"/>
      <c r="IS77" s="10"/>
      <c r="IT77" s="10"/>
      <c r="IU77" s="10"/>
      <c r="IV77" s="10"/>
      <c r="IW77" s="10"/>
      <c r="IX77" s="10"/>
      <c r="IY77" s="10"/>
      <c r="IZ77" s="10"/>
      <c r="JA77" s="10"/>
      <c r="JB77" s="10"/>
      <c r="JC77" s="10"/>
      <c r="JD77" s="10"/>
      <c r="JE77" s="10"/>
      <c r="JF77" s="10"/>
      <c r="JG77" s="10"/>
      <c r="JH77" s="10"/>
      <c r="JI77" s="10"/>
      <c r="JJ77" s="10"/>
      <c r="JK77" s="10"/>
      <c r="JL77" s="10"/>
      <c r="JM77" s="10"/>
      <c r="JN77" s="10"/>
      <c r="JO77" s="10"/>
      <c r="JP77" s="10"/>
      <c r="JQ77" s="10"/>
      <c r="JR77" s="10"/>
      <c r="JS77" s="10"/>
      <c r="JT77" s="10"/>
    </row>
    <row r="78" spans="1:280" x14ac:dyDescent="0.2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35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HZ78" s="10"/>
      <c r="IA78" s="10"/>
      <c r="IB78" s="10"/>
      <c r="IC78" s="10"/>
      <c r="ID78" s="10"/>
      <c r="IE78" s="10"/>
      <c r="IF78" s="10"/>
      <c r="IG78" s="10"/>
      <c r="IH78" s="10"/>
      <c r="II78" s="10"/>
      <c r="IJ78" s="10"/>
      <c r="IK78" s="10"/>
      <c r="IL78" s="10"/>
      <c r="IM78" s="10"/>
      <c r="IN78" s="10"/>
      <c r="IO78" s="10"/>
      <c r="IP78" s="10"/>
      <c r="IQ78" s="10"/>
      <c r="IR78" s="10"/>
      <c r="IS78" s="10"/>
      <c r="IT78" s="10"/>
      <c r="IU78" s="10"/>
      <c r="IV78" s="10"/>
      <c r="IW78" s="10"/>
      <c r="IX78" s="10"/>
      <c r="IY78" s="10"/>
      <c r="IZ78" s="10"/>
      <c r="JA78" s="10"/>
      <c r="JB78" s="10"/>
      <c r="JC78" s="10"/>
      <c r="JD78" s="10"/>
      <c r="JE78" s="10"/>
      <c r="JF78" s="10"/>
      <c r="JG78" s="10"/>
      <c r="JH78" s="10"/>
      <c r="JI78" s="10"/>
      <c r="JJ78" s="10"/>
      <c r="JK78" s="10"/>
      <c r="JL78" s="10"/>
      <c r="JM78" s="10"/>
      <c r="JN78" s="10"/>
      <c r="JO78" s="10"/>
      <c r="JP78" s="10"/>
      <c r="JQ78" s="10"/>
      <c r="JR78" s="10"/>
      <c r="JS78" s="10"/>
      <c r="JT78" s="10"/>
    </row>
    <row r="79" spans="1:280" x14ac:dyDescent="0.2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35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HZ79" s="10"/>
      <c r="IA79" s="10"/>
      <c r="IB79" s="10"/>
      <c r="IC79" s="10"/>
      <c r="ID79" s="10"/>
      <c r="IE79" s="10"/>
      <c r="IF79" s="10"/>
      <c r="IG79" s="10"/>
      <c r="IH79" s="10"/>
      <c r="II79" s="10"/>
      <c r="IJ79" s="10"/>
      <c r="IK79" s="10"/>
      <c r="IL79" s="10"/>
      <c r="IM79" s="10"/>
      <c r="IN79" s="10"/>
      <c r="IO79" s="10"/>
      <c r="IP79" s="10"/>
      <c r="IQ79" s="10"/>
      <c r="IR79" s="10"/>
      <c r="IS79" s="10"/>
      <c r="IT79" s="10"/>
      <c r="IU79" s="10"/>
      <c r="IV79" s="10"/>
      <c r="IW79" s="10"/>
      <c r="IX79" s="10"/>
      <c r="IY79" s="10"/>
      <c r="IZ79" s="10"/>
      <c r="JA79" s="10"/>
      <c r="JB79" s="10"/>
      <c r="JC79" s="10"/>
      <c r="JD79" s="10"/>
      <c r="JE79" s="10"/>
      <c r="JF79" s="10"/>
      <c r="JG79" s="10"/>
      <c r="JH79" s="10"/>
      <c r="JI79" s="10"/>
      <c r="JJ79" s="10"/>
      <c r="JK79" s="10"/>
      <c r="JL79" s="10"/>
      <c r="JM79" s="10"/>
      <c r="JN79" s="10"/>
      <c r="JO79" s="10"/>
      <c r="JP79" s="10"/>
      <c r="JQ79" s="10"/>
      <c r="JR79" s="10"/>
      <c r="JS79" s="10"/>
      <c r="JT79" s="10"/>
    </row>
    <row r="80" spans="1:280" x14ac:dyDescent="0.2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35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HZ80" s="10"/>
      <c r="IA80" s="10"/>
      <c r="IB80" s="10"/>
      <c r="IC80" s="10"/>
      <c r="ID80" s="10"/>
      <c r="IE80" s="10"/>
      <c r="IF80" s="10"/>
      <c r="IG80" s="10"/>
      <c r="IH80" s="10"/>
      <c r="II80" s="10"/>
      <c r="IJ80" s="10"/>
      <c r="IK80" s="10"/>
      <c r="IL80" s="10"/>
      <c r="IM80" s="10"/>
      <c r="IN80" s="10"/>
      <c r="IO80" s="10"/>
      <c r="IP80" s="10"/>
      <c r="IQ80" s="10"/>
      <c r="IR80" s="10"/>
      <c r="IS80" s="10"/>
      <c r="IT80" s="10"/>
      <c r="IU80" s="10"/>
      <c r="IV80" s="10"/>
      <c r="IW80" s="10"/>
      <c r="IX80" s="10"/>
      <c r="IY80" s="10"/>
      <c r="IZ80" s="10"/>
      <c r="JA80" s="10"/>
      <c r="JB80" s="10"/>
      <c r="JC80" s="10"/>
      <c r="JD80" s="10"/>
      <c r="JE80" s="10"/>
      <c r="JF80" s="10"/>
      <c r="JG80" s="10"/>
      <c r="JH80" s="10"/>
      <c r="JI80" s="10"/>
      <c r="JJ80" s="10"/>
      <c r="JK80" s="10"/>
      <c r="JL80" s="10"/>
      <c r="JM80" s="10"/>
      <c r="JN80" s="10"/>
      <c r="JO80" s="10"/>
      <c r="JP80" s="10"/>
      <c r="JQ80" s="10"/>
      <c r="JR80" s="10"/>
      <c r="JS80" s="10"/>
      <c r="JT80" s="10"/>
    </row>
    <row r="81" spans="1:280" x14ac:dyDescent="0.2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35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HZ81" s="10"/>
      <c r="IA81" s="10"/>
      <c r="IB81" s="10"/>
      <c r="IC81" s="10"/>
      <c r="ID81" s="10"/>
      <c r="IE81" s="10"/>
      <c r="IF81" s="10"/>
      <c r="IG81" s="10"/>
      <c r="IH81" s="10"/>
      <c r="II81" s="10"/>
      <c r="IJ81" s="10"/>
      <c r="IK81" s="10"/>
      <c r="IL81" s="10"/>
      <c r="IM81" s="10"/>
      <c r="IN81" s="10"/>
      <c r="IO81" s="10"/>
      <c r="IP81" s="10"/>
      <c r="IQ81" s="10"/>
      <c r="IR81" s="10"/>
      <c r="IS81" s="10"/>
      <c r="IT81" s="10"/>
      <c r="IU81" s="10"/>
      <c r="IV81" s="10"/>
      <c r="IW81" s="10"/>
      <c r="IX81" s="10"/>
      <c r="IY81" s="10"/>
      <c r="IZ81" s="10"/>
      <c r="JA81" s="10"/>
      <c r="JB81" s="10"/>
      <c r="JC81" s="10"/>
      <c r="JD81" s="10"/>
      <c r="JE81" s="10"/>
      <c r="JF81" s="10"/>
      <c r="JG81" s="10"/>
      <c r="JH81" s="10"/>
      <c r="JI81" s="10"/>
      <c r="JJ81" s="10"/>
      <c r="JK81" s="10"/>
      <c r="JL81" s="10"/>
      <c r="JM81" s="10"/>
      <c r="JN81" s="10"/>
      <c r="JO81" s="10"/>
      <c r="JP81" s="10"/>
      <c r="JQ81" s="10"/>
      <c r="JR81" s="10"/>
      <c r="JS81" s="10"/>
      <c r="JT81" s="10"/>
    </row>
    <row r="82" spans="1:280" x14ac:dyDescent="0.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35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HZ82" s="10"/>
      <c r="IA82" s="10"/>
      <c r="IB82" s="10"/>
      <c r="IC82" s="10"/>
      <c r="ID82" s="10"/>
      <c r="IE82" s="10"/>
      <c r="IF82" s="10"/>
      <c r="IG82" s="10"/>
      <c r="IH82" s="10"/>
      <c r="II82" s="10"/>
      <c r="IJ82" s="10"/>
      <c r="IK82" s="10"/>
      <c r="IL82" s="10"/>
      <c r="IM82" s="10"/>
      <c r="IN82" s="10"/>
      <c r="IO82" s="10"/>
      <c r="IP82" s="10"/>
      <c r="IQ82" s="10"/>
      <c r="IR82" s="10"/>
      <c r="IS82" s="10"/>
      <c r="IT82" s="10"/>
      <c r="IU82" s="10"/>
      <c r="IV82" s="10"/>
      <c r="IW82" s="10"/>
      <c r="IX82" s="10"/>
      <c r="IY82" s="10"/>
      <c r="IZ82" s="10"/>
      <c r="JA82" s="10"/>
      <c r="JB82" s="10"/>
      <c r="JC82" s="10"/>
      <c r="JD82" s="10"/>
      <c r="JE82" s="10"/>
      <c r="JF82" s="10"/>
      <c r="JG82" s="10"/>
      <c r="JH82" s="10"/>
      <c r="JI82" s="10"/>
      <c r="JJ82" s="10"/>
      <c r="JK82" s="10"/>
      <c r="JL82" s="10"/>
      <c r="JM82" s="10"/>
      <c r="JN82" s="10"/>
      <c r="JO82" s="10"/>
      <c r="JP82" s="10"/>
      <c r="JQ82" s="10"/>
      <c r="JR82" s="10"/>
      <c r="JS82" s="10"/>
      <c r="JT82" s="10"/>
    </row>
    <row r="83" spans="1:280" x14ac:dyDescent="0.2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35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HZ83" s="10"/>
      <c r="IA83" s="10"/>
      <c r="IB83" s="10"/>
      <c r="IC83" s="10"/>
      <c r="ID83" s="10"/>
      <c r="IE83" s="10"/>
      <c r="IF83" s="10"/>
      <c r="IG83" s="10"/>
      <c r="IH83" s="10"/>
      <c r="II83" s="10"/>
      <c r="IJ83" s="10"/>
      <c r="IK83" s="10"/>
      <c r="IL83" s="10"/>
      <c r="IM83" s="10"/>
      <c r="IN83" s="10"/>
      <c r="IO83" s="10"/>
      <c r="IP83" s="10"/>
      <c r="IQ83" s="10"/>
      <c r="IR83" s="10"/>
      <c r="IS83" s="10"/>
      <c r="IT83" s="10"/>
      <c r="IU83" s="10"/>
      <c r="IV83" s="10"/>
      <c r="IW83" s="10"/>
      <c r="IX83" s="10"/>
      <c r="IY83" s="10"/>
      <c r="IZ83" s="10"/>
      <c r="JA83" s="10"/>
      <c r="JB83" s="10"/>
      <c r="JC83" s="10"/>
      <c r="JD83" s="10"/>
      <c r="JE83" s="10"/>
      <c r="JF83" s="10"/>
      <c r="JG83" s="10"/>
      <c r="JH83" s="10"/>
      <c r="JI83" s="10"/>
      <c r="JJ83" s="10"/>
      <c r="JK83" s="10"/>
      <c r="JL83" s="10"/>
      <c r="JM83" s="10"/>
      <c r="JN83" s="10"/>
      <c r="JO83" s="10"/>
      <c r="JP83" s="10"/>
      <c r="JQ83" s="10"/>
      <c r="JR83" s="10"/>
      <c r="JS83" s="10"/>
      <c r="JT83" s="10"/>
    </row>
    <row r="84" spans="1:280" x14ac:dyDescent="0.2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35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HZ84" s="10"/>
      <c r="IA84" s="10"/>
      <c r="IB84" s="10"/>
      <c r="IC84" s="10"/>
      <c r="ID84" s="10"/>
      <c r="IE84" s="10"/>
      <c r="IF84" s="10"/>
      <c r="IG84" s="10"/>
      <c r="IH84" s="10"/>
      <c r="II84" s="10"/>
      <c r="IJ84" s="10"/>
      <c r="IK84" s="10"/>
      <c r="IL84" s="10"/>
      <c r="IM84" s="10"/>
      <c r="IN84" s="10"/>
      <c r="IO84" s="10"/>
      <c r="IP84" s="10"/>
      <c r="IQ84" s="10"/>
      <c r="IR84" s="10"/>
      <c r="IS84" s="10"/>
      <c r="IT84" s="10"/>
      <c r="IU84" s="10"/>
      <c r="IV84" s="10"/>
      <c r="IW84" s="10"/>
      <c r="IX84" s="10"/>
      <c r="IY84" s="10"/>
      <c r="IZ84" s="10"/>
      <c r="JA84" s="10"/>
      <c r="JB84" s="10"/>
      <c r="JC84" s="10"/>
      <c r="JD84" s="10"/>
      <c r="JE84" s="10"/>
      <c r="JF84" s="10"/>
      <c r="JG84" s="10"/>
      <c r="JH84" s="10"/>
      <c r="JI84" s="10"/>
      <c r="JJ84" s="10"/>
      <c r="JK84" s="10"/>
      <c r="JL84" s="10"/>
      <c r="JM84" s="10"/>
      <c r="JN84" s="10"/>
      <c r="JO84" s="10"/>
      <c r="JP84" s="10"/>
      <c r="JQ84" s="10"/>
      <c r="JR84" s="10"/>
      <c r="JS84" s="10"/>
      <c r="JT84" s="10"/>
    </row>
    <row r="85" spans="1:280" x14ac:dyDescent="0.2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35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HZ85" s="10"/>
      <c r="IA85" s="10"/>
      <c r="IB85" s="10"/>
      <c r="IC85" s="10"/>
      <c r="ID85" s="10"/>
      <c r="IE85" s="10"/>
      <c r="IF85" s="10"/>
      <c r="IG85" s="10"/>
      <c r="IH85" s="10"/>
      <c r="II85" s="10"/>
      <c r="IJ85" s="10"/>
      <c r="IK85" s="10"/>
      <c r="IL85" s="10"/>
      <c r="IM85" s="10"/>
      <c r="IN85" s="10"/>
      <c r="IO85" s="10"/>
      <c r="IP85" s="10"/>
      <c r="IQ85" s="10"/>
      <c r="IR85" s="10"/>
      <c r="IS85" s="10"/>
      <c r="IT85" s="10"/>
      <c r="IU85" s="10"/>
      <c r="IV85" s="10"/>
      <c r="IW85" s="10"/>
      <c r="IX85" s="10"/>
      <c r="IY85" s="10"/>
      <c r="IZ85" s="10"/>
      <c r="JA85" s="10"/>
      <c r="JB85" s="10"/>
      <c r="JC85" s="10"/>
      <c r="JD85" s="10"/>
      <c r="JE85" s="10"/>
      <c r="JF85" s="10"/>
      <c r="JG85" s="10"/>
      <c r="JH85" s="10"/>
      <c r="JI85" s="10"/>
      <c r="JJ85" s="10"/>
      <c r="JK85" s="10"/>
      <c r="JL85" s="10"/>
      <c r="JM85" s="10"/>
      <c r="JN85" s="10"/>
      <c r="JO85" s="10"/>
      <c r="JP85" s="10"/>
      <c r="JQ85" s="10"/>
      <c r="JR85" s="10"/>
      <c r="JS85" s="10"/>
      <c r="JT85" s="10"/>
    </row>
    <row r="86" spans="1:280" x14ac:dyDescent="0.2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35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HZ86" s="10"/>
      <c r="IA86" s="10"/>
      <c r="IB86" s="10"/>
      <c r="IC86" s="10"/>
      <c r="ID86" s="10"/>
      <c r="IE86" s="10"/>
      <c r="IF86" s="10"/>
      <c r="IG86" s="10"/>
      <c r="IH86" s="10"/>
      <c r="II86" s="10"/>
      <c r="IJ86" s="10"/>
      <c r="IK86" s="10"/>
      <c r="IL86" s="10"/>
      <c r="IM86" s="10"/>
      <c r="IN86" s="10"/>
      <c r="IO86" s="10"/>
      <c r="IP86" s="10"/>
      <c r="IQ86" s="10"/>
      <c r="IR86" s="10"/>
      <c r="IS86" s="10"/>
      <c r="IT86" s="10"/>
      <c r="IU86" s="10"/>
      <c r="IV86" s="10"/>
      <c r="IW86" s="10"/>
      <c r="IX86" s="10"/>
      <c r="IY86" s="10"/>
      <c r="IZ86" s="10"/>
      <c r="JA86" s="10"/>
      <c r="JB86" s="10"/>
      <c r="JC86" s="10"/>
      <c r="JD86" s="10"/>
      <c r="JE86" s="10"/>
      <c r="JF86" s="10"/>
      <c r="JG86" s="10"/>
      <c r="JH86" s="10"/>
      <c r="JI86" s="10"/>
      <c r="JJ86" s="10"/>
      <c r="JK86" s="10"/>
      <c r="JL86" s="10"/>
      <c r="JM86" s="10"/>
      <c r="JN86" s="10"/>
      <c r="JO86" s="10"/>
      <c r="JP86" s="10"/>
      <c r="JQ86" s="10"/>
      <c r="JR86" s="10"/>
      <c r="JS86" s="10"/>
      <c r="JT86" s="10"/>
    </row>
    <row r="87" spans="1:280" x14ac:dyDescent="0.2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35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HZ87" s="10"/>
      <c r="IA87" s="10"/>
      <c r="IB87" s="10"/>
      <c r="IC87" s="10"/>
      <c r="ID87" s="10"/>
      <c r="IE87" s="10"/>
      <c r="IF87" s="10"/>
      <c r="IG87" s="10"/>
      <c r="IH87" s="10"/>
      <c r="II87" s="10"/>
      <c r="IJ87" s="10"/>
      <c r="IK87" s="10"/>
      <c r="IL87" s="10"/>
      <c r="IM87" s="10"/>
      <c r="IN87" s="10"/>
      <c r="IO87" s="10"/>
      <c r="IP87" s="10"/>
      <c r="IQ87" s="10"/>
      <c r="IR87" s="10"/>
      <c r="IS87" s="10"/>
      <c r="IT87" s="10"/>
      <c r="IU87" s="10"/>
      <c r="IV87" s="10"/>
      <c r="IW87" s="10"/>
      <c r="IX87" s="10"/>
      <c r="IY87" s="10"/>
      <c r="IZ87" s="10"/>
      <c r="JA87" s="10"/>
      <c r="JB87" s="10"/>
      <c r="JC87" s="10"/>
      <c r="JD87" s="10"/>
      <c r="JE87" s="10"/>
      <c r="JF87" s="10"/>
      <c r="JG87" s="10"/>
      <c r="JH87" s="10"/>
      <c r="JI87" s="10"/>
      <c r="JJ87" s="10"/>
      <c r="JK87" s="10"/>
      <c r="JL87" s="10"/>
      <c r="JM87" s="10"/>
      <c r="JN87" s="10"/>
      <c r="JO87" s="10"/>
      <c r="JP87" s="10"/>
      <c r="JQ87" s="10"/>
      <c r="JR87" s="10"/>
      <c r="JS87" s="10"/>
      <c r="JT87" s="10"/>
    </row>
    <row r="88" spans="1:280" x14ac:dyDescent="0.2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35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HZ88" s="10"/>
      <c r="IA88" s="10"/>
      <c r="IB88" s="10"/>
      <c r="IC88" s="10"/>
      <c r="ID88" s="10"/>
      <c r="IE88" s="10"/>
      <c r="IF88" s="10"/>
      <c r="IG88" s="10"/>
      <c r="IH88" s="10"/>
      <c r="II88" s="10"/>
      <c r="IJ88" s="10"/>
      <c r="IK88" s="10"/>
      <c r="IL88" s="10"/>
      <c r="IM88" s="10"/>
      <c r="IN88" s="10"/>
      <c r="IO88" s="10"/>
      <c r="IP88" s="10"/>
      <c r="IQ88" s="10"/>
      <c r="IR88" s="10"/>
      <c r="IS88" s="10"/>
      <c r="IT88" s="10"/>
      <c r="IU88" s="10"/>
      <c r="IV88" s="10"/>
      <c r="IW88" s="10"/>
      <c r="IX88" s="10"/>
      <c r="IY88" s="10"/>
      <c r="IZ88" s="10"/>
      <c r="JA88" s="10"/>
      <c r="JB88" s="10"/>
      <c r="JC88" s="10"/>
      <c r="JD88" s="10"/>
      <c r="JE88" s="10"/>
      <c r="JF88" s="10"/>
      <c r="JG88" s="10"/>
      <c r="JH88" s="10"/>
      <c r="JI88" s="10"/>
      <c r="JJ88" s="10"/>
      <c r="JK88" s="10"/>
      <c r="JL88" s="10"/>
      <c r="JM88" s="10"/>
      <c r="JN88" s="10"/>
      <c r="JO88" s="10"/>
      <c r="JP88" s="10"/>
      <c r="JQ88" s="10"/>
      <c r="JR88" s="10"/>
      <c r="JS88" s="10"/>
      <c r="JT88" s="10"/>
    </row>
    <row r="89" spans="1:280" x14ac:dyDescent="0.2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35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HZ89" s="10"/>
      <c r="IA89" s="10"/>
      <c r="IB89" s="10"/>
      <c r="IC89" s="10"/>
      <c r="ID89" s="10"/>
      <c r="IE89" s="10"/>
      <c r="IF89" s="10"/>
      <c r="IG89" s="10"/>
      <c r="IH89" s="10"/>
      <c r="II89" s="10"/>
      <c r="IJ89" s="10"/>
      <c r="IK89" s="10"/>
      <c r="IL89" s="10"/>
      <c r="IM89" s="10"/>
      <c r="IN89" s="10"/>
      <c r="IO89" s="10"/>
      <c r="IP89" s="10"/>
      <c r="IQ89" s="10"/>
      <c r="IR89" s="10"/>
      <c r="IS89" s="10"/>
      <c r="IT89" s="10"/>
      <c r="IU89" s="10"/>
      <c r="IV89" s="10"/>
      <c r="IW89" s="10"/>
      <c r="IX89" s="10"/>
      <c r="IY89" s="10"/>
      <c r="IZ89" s="10"/>
      <c r="JA89" s="10"/>
      <c r="JB89" s="10"/>
      <c r="JC89" s="10"/>
      <c r="JD89" s="10"/>
      <c r="JE89" s="10"/>
      <c r="JF89" s="10"/>
      <c r="JG89" s="10"/>
      <c r="JH89" s="10"/>
      <c r="JI89" s="10"/>
      <c r="JJ89" s="10"/>
      <c r="JK89" s="10"/>
      <c r="JL89" s="10"/>
      <c r="JM89" s="10"/>
      <c r="JN89" s="10"/>
      <c r="JO89" s="10"/>
      <c r="JP89" s="10"/>
      <c r="JQ89" s="10"/>
      <c r="JR89" s="10"/>
      <c r="JS89" s="10"/>
      <c r="JT89" s="10"/>
    </row>
    <row r="90" spans="1:280" x14ac:dyDescent="0.2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35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HZ90" s="10"/>
      <c r="IA90" s="10"/>
      <c r="IB90" s="10"/>
      <c r="IC90" s="10"/>
      <c r="ID90" s="10"/>
      <c r="IE90" s="10"/>
      <c r="IF90" s="10"/>
      <c r="IG90" s="10"/>
      <c r="IH90" s="10"/>
      <c r="II90" s="10"/>
      <c r="IJ90" s="10"/>
      <c r="IK90" s="10"/>
      <c r="IL90" s="10"/>
      <c r="IM90" s="10"/>
      <c r="IN90" s="10"/>
      <c r="IO90" s="10"/>
      <c r="IP90" s="10"/>
      <c r="IQ90" s="10"/>
      <c r="IR90" s="10"/>
      <c r="IS90" s="10"/>
      <c r="IT90" s="10"/>
      <c r="IU90" s="10"/>
      <c r="IV90" s="10"/>
      <c r="IW90" s="10"/>
      <c r="IX90" s="10"/>
      <c r="IY90" s="10"/>
      <c r="IZ90" s="10"/>
      <c r="JA90" s="10"/>
      <c r="JB90" s="10"/>
      <c r="JC90" s="10"/>
      <c r="JD90" s="10"/>
      <c r="JE90" s="10"/>
      <c r="JF90" s="10"/>
      <c r="JG90" s="10"/>
      <c r="JH90" s="10"/>
      <c r="JI90" s="10"/>
      <c r="JJ90" s="10"/>
      <c r="JK90" s="10"/>
      <c r="JL90" s="10"/>
      <c r="JM90" s="10"/>
      <c r="JN90" s="10"/>
      <c r="JO90" s="10"/>
      <c r="JP90" s="10"/>
      <c r="JQ90" s="10"/>
      <c r="JR90" s="10"/>
      <c r="JS90" s="10"/>
      <c r="JT90" s="10"/>
    </row>
    <row r="91" spans="1:280" x14ac:dyDescent="0.2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35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HZ91" s="10"/>
      <c r="IA91" s="10"/>
      <c r="IB91" s="10"/>
      <c r="IC91" s="10"/>
      <c r="ID91" s="10"/>
      <c r="IE91" s="10"/>
      <c r="IF91" s="10"/>
      <c r="IG91" s="10"/>
      <c r="IH91" s="10"/>
      <c r="II91" s="10"/>
      <c r="IJ91" s="10"/>
      <c r="IK91" s="10"/>
      <c r="IL91" s="10"/>
      <c r="IM91" s="10"/>
      <c r="IN91" s="10"/>
      <c r="IO91" s="10"/>
      <c r="IP91" s="10"/>
      <c r="IQ91" s="10"/>
      <c r="IR91" s="10"/>
      <c r="IS91" s="10"/>
      <c r="IT91" s="10"/>
      <c r="IU91" s="10"/>
      <c r="IV91" s="10"/>
      <c r="IW91" s="10"/>
      <c r="IX91" s="10"/>
      <c r="IY91" s="10"/>
      <c r="IZ91" s="10"/>
      <c r="JA91" s="10"/>
      <c r="JB91" s="10"/>
      <c r="JC91" s="10"/>
      <c r="JD91" s="10"/>
      <c r="JE91" s="10"/>
      <c r="JF91" s="10"/>
      <c r="JG91" s="10"/>
      <c r="JH91" s="10"/>
      <c r="JI91" s="10"/>
      <c r="JJ91" s="10"/>
      <c r="JK91" s="10"/>
      <c r="JL91" s="10"/>
      <c r="JM91" s="10"/>
      <c r="JN91" s="10"/>
      <c r="JO91" s="10"/>
      <c r="JP91" s="10"/>
      <c r="JQ91" s="10"/>
      <c r="JR91" s="10"/>
      <c r="JS91" s="10"/>
      <c r="JT91" s="10"/>
    </row>
    <row r="92" spans="1:280" x14ac:dyDescent="0.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35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HZ92" s="10"/>
      <c r="IA92" s="10"/>
      <c r="IB92" s="10"/>
      <c r="IC92" s="10"/>
      <c r="ID92" s="10"/>
      <c r="IE92" s="10"/>
      <c r="IF92" s="10"/>
      <c r="IG92" s="10"/>
      <c r="IH92" s="10"/>
      <c r="II92" s="10"/>
      <c r="IJ92" s="10"/>
      <c r="IK92" s="10"/>
      <c r="IL92" s="10"/>
      <c r="IM92" s="10"/>
      <c r="IN92" s="10"/>
      <c r="IO92" s="10"/>
      <c r="IP92" s="10"/>
      <c r="IQ92" s="10"/>
      <c r="IR92" s="10"/>
      <c r="IS92" s="10"/>
      <c r="IT92" s="10"/>
      <c r="IU92" s="10"/>
      <c r="IV92" s="10"/>
      <c r="IW92" s="10"/>
      <c r="IX92" s="10"/>
      <c r="IY92" s="10"/>
      <c r="IZ92" s="10"/>
      <c r="JA92" s="10"/>
      <c r="JB92" s="10"/>
      <c r="JC92" s="10"/>
      <c r="JD92" s="10"/>
      <c r="JE92" s="10"/>
      <c r="JF92" s="10"/>
      <c r="JG92" s="10"/>
      <c r="JH92" s="10"/>
      <c r="JI92" s="10"/>
      <c r="JJ92" s="10"/>
      <c r="JK92" s="10"/>
      <c r="JL92" s="10"/>
      <c r="JM92" s="10"/>
      <c r="JN92" s="10"/>
      <c r="JO92" s="10"/>
      <c r="JP92" s="10"/>
      <c r="JQ92" s="10"/>
      <c r="JR92" s="10"/>
      <c r="JS92" s="10"/>
      <c r="JT92" s="10"/>
    </row>
    <row r="93" spans="1:280" x14ac:dyDescent="0.2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35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HZ93" s="10"/>
      <c r="IA93" s="10"/>
      <c r="IB93" s="10"/>
      <c r="IC93" s="10"/>
      <c r="ID93" s="10"/>
      <c r="IE93" s="10"/>
      <c r="IF93" s="10"/>
      <c r="IG93" s="10"/>
      <c r="IH93" s="10"/>
      <c r="II93" s="10"/>
      <c r="IJ93" s="10"/>
      <c r="IK93" s="10"/>
      <c r="IL93" s="10"/>
      <c r="IM93" s="10"/>
      <c r="IN93" s="10"/>
      <c r="IO93" s="10"/>
      <c r="IP93" s="10"/>
      <c r="IQ93" s="10"/>
      <c r="IR93" s="10"/>
      <c r="IS93" s="10"/>
      <c r="IT93" s="10"/>
      <c r="IU93" s="10"/>
      <c r="IV93" s="10"/>
      <c r="IW93" s="10"/>
      <c r="IX93" s="10"/>
      <c r="IY93" s="10"/>
      <c r="IZ93" s="10"/>
      <c r="JA93" s="10"/>
      <c r="JB93" s="10"/>
      <c r="JC93" s="10"/>
      <c r="JD93" s="10"/>
      <c r="JE93" s="10"/>
      <c r="JF93" s="10"/>
      <c r="JG93" s="10"/>
      <c r="JH93" s="10"/>
      <c r="JI93" s="10"/>
      <c r="JJ93" s="10"/>
      <c r="JK93" s="10"/>
      <c r="JL93" s="10"/>
      <c r="JM93" s="10"/>
      <c r="JN93" s="10"/>
      <c r="JO93" s="10"/>
      <c r="JP93" s="10"/>
      <c r="JQ93" s="10"/>
      <c r="JR93" s="10"/>
      <c r="JS93" s="10"/>
      <c r="JT93" s="10"/>
    </row>
    <row r="94" spans="1:280" x14ac:dyDescent="0.2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35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HZ94" s="10"/>
      <c r="IA94" s="10"/>
      <c r="IB94" s="10"/>
      <c r="IC94" s="10"/>
      <c r="ID94" s="10"/>
      <c r="IE94" s="10"/>
      <c r="IF94" s="10"/>
      <c r="IG94" s="10"/>
      <c r="IH94" s="10"/>
      <c r="II94" s="10"/>
      <c r="IJ94" s="10"/>
      <c r="IK94" s="10"/>
      <c r="IL94" s="10"/>
      <c r="IM94" s="10"/>
      <c r="IN94" s="10"/>
      <c r="IO94" s="10"/>
      <c r="IP94" s="10"/>
      <c r="IQ94" s="10"/>
      <c r="IR94" s="10"/>
      <c r="IS94" s="10"/>
      <c r="IT94" s="10"/>
      <c r="IU94" s="10"/>
      <c r="IV94" s="10"/>
      <c r="IW94" s="10"/>
      <c r="IX94" s="10"/>
      <c r="IY94" s="10"/>
      <c r="IZ94" s="10"/>
      <c r="JA94" s="10"/>
      <c r="JB94" s="10"/>
      <c r="JC94" s="10"/>
      <c r="JD94" s="10"/>
      <c r="JE94" s="10"/>
      <c r="JF94" s="10"/>
      <c r="JG94" s="10"/>
      <c r="JH94" s="10"/>
      <c r="JI94" s="10"/>
      <c r="JJ94" s="10"/>
      <c r="JK94" s="10"/>
      <c r="JL94" s="10"/>
      <c r="JM94" s="10"/>
      <c r="JN94" s="10"/>
      <c r="JO94" s="10"/>
      <c r="JP94" s="10"/>
      <c r="JQ94" s="10"/>
      <c r="JR94" s="10"/>
      <c r="JS94" s="10"/>
      <c r="JT94" s="10"/>
    </row>
    <row r="95" spans="1:280" x14ac:dyDescent="0.2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35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HZ95" s="10"/>
      <c r="IA95" s="10"/>
      <c r="IB95" s="10"/>
      <c r="IC95" s="10"/>
      <c r="ID95" s="10"/>
      <c r="IE95" s="10"/>
      <c r="IF95" s="10"/>
      <c r="IG95" s="10"/>
      <c r="IH95" s="10"/>
      <c r="II95" s="10"/>
      <c r="IJ95" s="10"/>
      <c r="IK95" s="10"/>
      <c r="IL95" s="10"/>
      <c r="IM95" s="10"/>
      <c r="IN95" s="10"/>
      <c r="IO95" s="10"/>
      <c r="IP95" s="10"/>
      <c r="IQ95" s="10"/>
      <c r="IR95" s="10"/>
      <c r="IS95" s="10"/>
      <c r="IT95" s="10"/>
      <c r="IU95" s="10"/>
      <c r="IV95" s="10"/>
      <c r="IW95" s="10"/>
      <c r="IX95" s="10"/>
      <c r="IY95" s="10"/>
      <c r="IZ95" s="10"/>
      <c r="JA95" s="10"/>
      <c r="JB95" s="10"/>
      <c r="JC95" s="10"/>
      <c r="JD95" s="10"/>
      <c r="JE95" s="10"/>
      <c r="JF95" s="10"/>
      <c r="JG95" s="10"/>
      <c r="JH95" s="10"/>
      <c r="JI95" s="10"/>
      <c r="JJ95" s="10"/>
      <c r="JK95" s="10"/>
      <c r="JL95" s="10"/>
      <c r="JM95" s="10"/>
      <c r="JN95" s="10"/>
      <c r="JO95" s="10"/>
      <c r="JP95" s="10"/>
      <c r="JQ95" s="10"/>
      <c r="JR95" s="10"/>
      <c r="JS95" s="10"/>
      <c r="JT95" s="10"/>
    </row>
    <row r="96" spans="1:280" x14ac:dyDescent="0.2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35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HZ96" s="10"/>
      <c r="IA96" s="10"/>
      <c r="IB96" s="10"/>
      <c r="IC96" s="10"/>
      <c r="ID96" s="10"/>
      <c r="IE96" s="10"/>
      <c r="IF96" s="10"/>
      <c r="IG96" s="10"/>
      <c r="IH96" s="10"/>
      <c r="II96" s="10"/>
      <c r="IJ96" s="10"/>
      <c r="IK96" s="10"/>
      <c r="IL96" s="10"/>
      <c r="IM96" s="10"/>
      <c r="IN96" s="10"/>
      <c r="IO96" s="10"/>
      <c r="IP96" s="10"/>
      <c r="IQ96" s="10"/>
      <c r="IR96" s="10"/>
      <c r="IS96" s="10"/>
      <c r="IT96" s="10"/>
      <c r="IU96" s="10"/>
      <c r="IV96" s="10"/>
      <c r="IW96" s="10"/>
      <c r="IX96" s="10"/>
      <c r="IY96" s="10"/>
      <c r="IZ96" s="10"/>
      <c r="JA96" s="10"/>
      <c r="JB96" s="10"/>
      <c r="JC96" s="10"/>
      <c r="JD96" s="10"/>
      <c r="JE96" s="10"/>
      <c r="JF96" s="10"/>
      <c r="JG96" s="10"/>
      <c r="JH96" s="10"/>
      <c r="JI96" s="10"/>
      <c r="JJ96" s="10"/>
      <c r="JK96" s="10"/>
      <c r="JL96" s="10"/>
      <c r="JM96" s="10"/>
      <c r="JN96" s="10"/>
      <c r="JO96" s="10"/>
      <c r="JP96" s="10"/>
      <c r="JQ96" s="10"/>
      <c r="JR96" s="10"/>
      <c r="JS96" s="10"/>
      <c r="JT96" s="10"/>
    </row>
    <row r="97" spans="1:280" x14ac:dyDescent="0.2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35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HZ97" s="10"/>
      <c r="IA97" s="10"/>
      <c r="IB97" s="10"/>
      <c r="IC97" s="10"/>
      <c r="ID97" s="10"/>
      <c r="IE97" s="10"/>
      <c r="IF97" s="10"/>
      <c r="IG97" s="10"/>
      <c r="IH97" s="10"/>
      <c r="II97" s="10"/>
      <c r="IJ97" s="10"/>
      <c r="IK97" s="10"/>
      <c r="IL97" s="10"/>
      <c r="IM97" s="10"/>
      <c r="IN97" s="10"/>
      <c r="IO97" s="10"/>
      <c r="IP97" s="10"/>
      <c r="IQ97" s="10"/>
      <c r="IR97" s="10"/>
      <c r="IS97" s="10"/>
      <c r="IT97" s="10"/>
      <c r="IU97" s="10"/>
      <c r="IV97" s="10"/>
      <c r="IW97" s="10"/>
      <c r="IX97" s="10"/>
      <c r="IY97" s="10"/>
      <c r="IZ97" s="10"/>
      <c r="JA97" s="10"/>
      <c r="JB97" s="10"/>
      <c r="JC97" s="10"/>
      <c r="JD97" s="10"/>
      <c r="JE97" s="10"/>
      <c r="JF97" s="10"/>
      <c r="JG97" s="10"/>
      <c r="JH97" s="10"/>
      <c r="JI97" s="10"/>
      <c r="JJ97" s="10"/>
      <c r="JK97" s="10"/>
      <c r="JL97" s="10"/>
      <c r="JM97" s="10"/>
      <c r="JN97" s="10"/>
      <c r="JO97" s="10"/>
      <c r="JP97" s="10"/>
      <c r="JQ97" s="10"/>
      <c r="JR97" s="10"/>
      <c r="JS97" s="10"/>
      <c r="JT97" s="10"/>
    </row>
    <row r="98" spans="1:280" x14ac:dyDescent="0.2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35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HZ98" s="10"/>
      <c r="IA98" s="10"/>
      <c r="IB98" s="10"/>
      <c r="IC98" s="10"/>
      <c r="ID98" s="10"/>
      <c r="IE98" s="10"/>
      <c r="IF98" s="10"/>
      <c r="IG98" s="10"/>
      <c r="IH98" s="10"/>
      <c r="II98" s="10"/>
      <c r="IJ98" s="10"/>
      <c r="IK98" s="10"/>
      <c r="IL98" s="10"/>
      <c r="IM98" s="10"/>
      <c r="IN98" s="10"/>
      <c r="IO98" s="10"/>
      <c r="IP98" s="10"/>
      <c r="IQ98" s="10"/>
      <c r="IR98" s="10"/>
      <c r="IS98" s="10"/>
      <c r="IT98" s="10"/>
      <c r="IU98" s="10"/>
      <c r="IV98" s="10"/>
      <c r="IW98" s="10"/>
      <c r="IX98" s="10"/>
      <c r="IY98" s="10"/>
      <c r="IZ98" s="10"/>
      <c r="JA98" s="10"/>
      <c r="JB98" s="10"/>
      <c r="JC98" s="10"/>
      <c r="JD98" s="10"/>
      <c r="JE98" s="10"/>
      <c r="JF98" s="10"/>
      <c r="JG98" s="10"/>
      <c r="JH98" s="10"/>
      <c r="JI98" s="10"/>
      <c r="JJ98" s="10"/>
      <c r="JK98" s="10"/>
      <c r="JL98" s="10"/>
      <c r="JM98" s="10"/>
      <c r="JN98" s="10"/>
      <c r="JO98" s="10"/>
      <c r="JP98" s="10"/>
      <c r="JQ98" s="10"/>
      <c r="JR98" s="10"/>
      <c r="JS98" s="10"/>
      <c r="JT98" s="10"/>
    </row>
    <row r="99" spans="1:280" x14ac:dyDescent="0.2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35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HZ99" s="10"/>
      <c r="IA99" s="10"/>
      <c r="IB99" s="10"/>
      <c r="IC99" s="10"/>
      <c r="ID99" s="10"/>
      <c r="IE99" s="10"/>
      <c r="IF99" s="10"/>
      <c r="IG99" s="10"/>
      <c r="IH99" s="10"/>
      <c r="II99" s="10"/>
      <c r="IJ99" s="10"/>
      <c r="IK99" s="10"/>
      <c r="IL99" s="10"/>
      <c r="IM99" s="10"/>
      <c r="IN99" s="10"/>
      <c r="IO99" s="10"/>
      <c r="IP99" s="10"/>
      <c r="IQ99" s="10"/>
      <c r="IR99" s="10"/>
      <c r="IS99" s="10"/>
      <c r="IT99" s="10"/>
      <c r="IU99" s="10"/>
      <c r="IV99" s="10"/>
      <c r="IW99" s="10"/>
      <c r="IX99" s="10"/>
      <c r="IY99" s="10"/>
      <c r="IZ99" s="10"/>
      <c r="JA99" s="10"/>
      <c r="JB99" s="10"/>
      <c r="JC99" s="10"/>
      <c r="JD99" s="10"/>
      <c r="JE99" s="10"/>
      <c r="JF99" s="10"/>
      <c r="JG99" s="10"/>
      <c r="JH99" s="10"/>
      <c r="JI99" s="10"/>
      <c r="JJ99" s="10"/>
      <c r="JK99" s="10"/>
      <c r="JL99" s="10"/>
      <c r="JM99" s="10"/>
      <c r="JN99" s="10"/>
      <c r="JO99" s="10"/>
      <c r="JP99" s="10"/>
      <c r="JQ99" s="10"/>
      <c r="JR99" s="10"/>
      <c r="JS99" s="10"/>
      <c r="JT99" s="10"/>
    </row>
    <row r="100" spans="1:280" x14ac:dyDescent="0.2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35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HZ100" s="10"/>
      <c r="IA100" s="10"/>
      <c r="IB100" s="10"/>
      <c r="IC100" s="10"/>
      <c r="ID100" s="10"/>
      <c r="IE100" s="10"/>
      <c r="IF100" s="10"/>
      <c r="IG100" s="10"/>
      <c r="IH100" s="10"/>
      <c r="II100" s="10"/>
      <c r="IJ100" s="10"/>
      <c r="IK100" s="10"/>
      <c r="IL100" s="10"/>
      <c r="IM100" s="10"/>
      <c r="IN100" s="10"/>
      <c r="IO100" s="10"/>
      <c r="IP100" s="10"/>
      <c r="IQ100" s="10"/>
      <c r="IR100" s="10"/>
      <c r="IS100" s="10"/>
      <c r="IT100" s="10"/>
      <c r="IU100" s="10"/>
      <c r="IV100" s="10"/>
      <c r="IW100" s="10"/>
      <c r="IX100" s="10"/>
      <c r="IY100" s="10"/>
      <c r="IZ100" s="10"/>
      <c r="JA100" s="10"/>
      <c r="JB100" s="10"/>
      <c r="JC100" s="10"/>
      <c r="JD100" s="10"/>
      <c r="JE100" s="10"/>
      <c r="JF100" s="10"/>
      <c r="JG100" s="10"/>
      <c r="JH100" s="10"/>
      <c r="JI100" s="10"/>
      <c r="JJ100" s="10"/>
      <c r="JK100" s="10"/>
      <c r="JL100" s="10"/>
      <c r="JM100" s="10"/>
      <c r="JN100" s="10"/>
      <c r="JO100" s="10"/>
      <c r="JP100" s="10"/>
      <c r="JQ100" s="10"/>
      <c r="JR100" s="10"/>
      <c r="JS100" s="10"/>
      <c r="JT100" s="10"/>
    </row>
    <row r="101" spans="1:280" x14ac:dyDescent="0.2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35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HZ101" s="10"/>
      <c r="IA101" s="10"/>
      <c r="IB101" s="10"/>
      <c r="IC101" s="10"/>
      <c r="ID101" s="10"/>
      <c r="IE101" s="10"/>
      <c r="IF101" s="10"/>
      <c r="IG101" s="10"/>
      <c r="IH101" s="10"/>
      <c r="II101" s="10"/>
      <c r="IJ101" s="10"/>
      <c r="IK101" s="10"/>
      <c r="IL101" s="10"/>
      <c r="IM101" s="10"/>
      <c r="IN101" s="10"/>
      <c r="IO101" s="10"/>
      <c r="IP101" s="10"/>
      <c r="IQ101" s="10"/>
      <c r="IR101" s="10"/>
      <c r="IS101" s="10"/>
      <c r="IT101" s="10"/>
      <c r="IU101" s="10"/>
      <c r="IV101" s="10"/>
      <c r="IW101" s="10"/>
      <c r="IX101" s="10"/>
      <c r="IY101" s="10"/>
      <c r="IZ101" s="10"/>
      <c r="JA101" s="10"/>
      <c r="JB101" s="10"/>
      <c r="JC101" s="10"/>
      <c r="JD101" s="10"/>
      <c r="JE101" s="10"/>
      <c r="JF101" s="10"/>
      <c r="JG101" s="10"/>
      <c r="JH101" s="10"/>
      <c r="JI101" s="10"/>
      <c r="JJ101" s="10"/>
      <c r="JK101" s="10"/>
      <c r="JL101" s="10"/>
      <c r="JM101" s="10"/>
      <c r="JN101" s="10"/>
      <c r="JO101" s="10"/>
      <c r="JP101" s="10"/>
      <c r="JQ101" s="10"/>
      <c r="JR101" s="10"/>
      <c r="JS101" s="10"/>
      <c r="JT101" s="10"/>
    </row>
    <row r="102" spans="1:280" x14ac:dyDescent="0.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35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HZ102" s="10"/>
      <c r="IA102" s="10"/>
      <c r="IB102" s="10"/>
      <c r="IC102" s="10"/>
      <c r="ID102" s="10"/>
      <c r="IE102" s="10"/>
      <c r="IF102" s="10"/>
      <c r="IG102" s="10"/>
      <c r="IH102" s="10"/>
      <c r="II102" s="10"/>
      <c r="IJ102" s="10"/>
      <c r="IK102" s="10"/>
      <c r="IL102" s="10"/>
      <c r="IM102" s="10"/>
      <c r="IN102" s="10"/>
      <c r="IO102" s="10"/>
      <c r="IP102" s="10"/>
      <c r="IQ102" s="10"/>
      <c r="IR102" s="10"/>
      <c r="IS102" s="10"/>
      <c r="IT102" s="10"/>
      <c r="IU102" s="10"/>
      <c r="IV102" s="10"/>
      <c r="IW102" s="10"/>
      <c r="IX102" s="10"/>
      <c r="IY102" s="10"/>
      <c r="IZ102" s="10"/>
      <c r="JA102" s="10"/>
      <c r="JB102" s="10"/>
      <c r="JC102" s="10"/>
      <c r="JD102" s="10"/>
      <c r="JE102" s="10"/>
      <c r="JF102" s="10"/>
      <c r="JG102" s="10"/>
      <c r="JH102" s="10"/>
      <c r="JI102" s="10"/>
      <c r="JJ102" s="10"/>
      <c r="JK102" s="10"/>
      <c r="JL102" s="10"/>
      <c r="JM102" s="10"/>
      <c r="JN102" s="10"/>
      <c r="JO102" s="10"/>
      <c r="JP102" s="10"/>
      <c r="JQ102" s="10"/>
      <c r="JR102" s="10"/>
      <c r="JS102" s="10"/>
      <c r="JT102" s="10"/>
    </row>
    <row r="103" spans="1:280" x14ac:dyDescent="0.2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35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HZ103" s="10"/>
      <c r="IA103" s="10"/>
      <c r="IB103" s="10"/>
      <c r="IC103" s="10"/>
      <c r="ID103" s="10"/>
      <c r="IE103" s="10"/>
      <c r="IF103" s="10"/>
      <c r="IG103" s="10"/>
      <c r="IH103" s="10"/>
      <c r="II103" s="10"/>
      <c r="IJ103" s="10"/>
      <c r="IK103" s="10"/>
      <c r="IL103" s="10"/>
      <c r="IM103" s="10"/>
      <c r="IN103" s="10"/>
      <c r="IO103" s="10"/>
      <c r="IP103" s="10"/>
      <c r="IQ103" s="10"/>
      <c r="IR103" s="10"/>
      <c r="IS103" s="10"/>
      <c r="IT103" s="10"/>
      <c r="IU103" s="10"/>
      <c r="IV103" s="10"/>
      <c r="IW103" s="10"/>
      <c r="IX103" s="10"/>
      <c r="IY103" s="10"/>
      <c r="IZ103" s="10"/>
      <c r="JA103" s="10"/>
      <c r="JB103" s="10"/>
      <c r="JC103" s="10"/>
      <c r="JD103" s="10"/>
      <c r="JE103" s="10"/>
      <c r="JF103" s="10"/>
      <c r="JG103" s="10"/>
      <c r="JH103" s="10"/>
      <c r="JI103" s="10"/>
      <c r="JJ103" s="10"/>
      <c r="JK103" s="10"/>
      <c r="JL103" s="10"/>
      <c r="JM103" s="10"/>
      <c r="JN103" s="10"/>
      <c r="JO103" s="10"/>
      <c r="JP103" s="10"/>
      <c r="JQ103" s="10"/>
      <c r="JR103" s="10"/>
      <c r="JS103" s="10"/>
      <c r="JT103" s="10"/>
    </row>
    <row r="104" spans="1:280" x14ac:dyDescent="0.2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35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HZ104" s="10"/>
      <c r="IA104" s="10"/>
      <c r="IB104" s="10"/>
      <c r="IC104" s="10"/>
      <c r="ID104" s="10"/>
      <c r="IE104" s="10"/>
      <c r="IF104" s="10"/>
      <c r="IG104" s="10"/>
      <c r="IH104" s="10"/>
      <c r="II104" s="10"/>
      <c r="IJ104" s="10"/>
      <c r="IK104" s="10"/>
      <c r="IL104" s="10"/>
      <c r="IM104" s="10"/>
      <c r="IN104" s="10"/>
      <c r="IO104" s="10"/>
      <c r="IP104" s="10"/>
      <c r="IQ104" s="10"/>
      <c r="IR104" s="10"/>
      <c r="IS104" s="10"/>
      <c r="IT104" s="10"/>
      <c r="IU104" s="10"/>
      <c r="IV104" s="10"/>
      <c r="IW104" s="10"/>
      <c r="IX104" s="10"/>
      <c r="IY104" s="10"/>
      <c r="IZ104" s="10"/>
      <c r="JA104" s="10"/>
      <c r="JB104" s="10"/>
      <c r="JC104" s="10"/>
      <c r="JD104" s="10"/>
      <c r="JE104" s="10"/>
      <c r="JF104" s="10"/>
      <c r="JG104" s="10"/>
      <c r="JH104" s="10"/>
      <c r="JI104" s="10"/>
      <c r="JJ104" s="10"/>
      <c r="JK104" s="10"/>
      <c r="JL104" s="10"/>
      <c r="JM104" s="10"/>
      <c r="JN104" s="10"/>
      <c r="JO104" s="10"/>
      <c r="JP104" s="10"/>
      <c r="JQ104" s="10"/>
      <c r="JR104" s="10"/>
      <c r="JS104" s="10"/>
      <c r="JT104" s="10"/>
    </row>
    <row r="105" spans="1:280" x14ac:dyDescent="0.2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35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HZ105" s="10"/>
      <c r="IA105" s="10"/>
      <c r="IB105" s="10"/>
      <c r="IC105" s="10"/>
      <c r="ID105" s="10"/>
      <c r="IE105" s="10"/>
      <c r="IF105" s="10"/>
      <c r="IG105" s="10"/>
      <c r="IH105" s="10"/>
      <c r="II105" s="10"/>
      <c r="IJ105" s="10"/>
      <c r="IK105" s="10"/>
      <c r="IL105" s="10"/>
      <c r="IM105" s="10"/>
      <c r="IN105" s="10"/>
      <c r="IO105" s="10"/>
      <c r="IP105" s="10"/>
      <c r="IQ105" s="10"/>
      <c r="IR105" s="10"/>
      <c r="IS105" s="10"/>
      <c r="IT105" s="10"/>
      <c r="IU105" s="10"/>
      <c r="IV105" s="10"/>
      <c r="IW105" s="10"/>
      <c r="IX105" s="10"/>
      <c r="IY105" s="10"/>
      <c r="IZ105" s="10"/>
      <c r="JA105" s="10"/>
      <c r="JB105" s="10"/>
      <c r="JC105" s="10"/>
      <c r="JD105" s="10"/>
      <c r="JE105" s="10"/>
      <c r="JF105" s="10"/>
      <c r="JG105" s="10"/>
      <c r="JH105" s="10"/>
      <c r="JI105" s="10"/>
      <c r="JJ105" s="10"/>
      <c r="JK105" s="10"/>
      <c r="JL105" s="10"/>
      <c r="JM105" s="10"/>
      <c r="JN105" s="10"/>
      <c r="JO105" s="10"/>
      <c r="JP105" s="10"/>
      <c r="JQ105" s="10"/>
      <c r="JR105" s="10"/>
      <c r="JS105" s="10"/>
      <c r="JT105" s="10"/>
    </row>
    <row r="106" spans="1:280" x14ac:dyDescent="0.2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35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HZ106" s="10"/>
      <c r="IA106" s="10"/>
      <c r="IB106" s="10"/>
      <c r="IC106" s="10"/>
      <c r="ID106" s="10"/>
      <c r="IE106" s="10"/>
      <c r="IF106" s="10"/>
      <c r="IG106" s="10"/>
      <c r="IH106" s="10"/>
      <c r="II106" s="10"/>
      <c r="IJ106" s="10"/>
      <c r="IK106" s="10"/>
      <c r="IL106" s="10"/>
      <c r="IM106" s="10"/>
      <c r="IN106" s="10"/>
      <c r="IO106" s="10"/>
      <c r="IP106" s="10"/>
      <c r="IQ106" s="10"/>
      <c r="IR106" s="10"/>
      <c r="IS106" s="10"/>
      <c r="IT106" s="10"/>
      <c r="IU106" s="10"/>
      <c r="IV106" s="10"/>
      <c r="IW106" s="10"/>
      <c r="IX106" s="10"/>
      <c r="IY106" s="10"/>
      <c r="IZ106" s="10"/>
      <c r="JA106" s="10"/>
      <c r="JB106" s="10"/>
      <c r="JC106" s="10"/>
      <c r="JD106" s="10"/>
      <c r="JE106" s="10"/>
      <c r="JF106" s="10"/>
      <c r="JG106" s="10"/>
      <c r="JH106" s="10"/>
      <c r="JI106" s="10"/>
      <c r="JJ106" s="10"/>
      <c r="JK106" s="10"/>
      <c r="JL106" s="10"/>
      <c r="JM106" s="10"/>
      <c r="JN106" s="10"/>
      <c r="JO106" s="10"/>
      <c r="JP106" s="10"/>
      <c r="JQ106" s="10"/>
      <c r="JR106" s="10"/>
      <c r="JS106" s="10"/>
      <c r="JT106" s="10"/>
    </row>
    <row r="107" spans="1:280" x14ac:dyDescent="0.2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35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HZ107" s="10"/>
      <c r="IA107" s="10"/>
      <c r="IB107" s="10"/>
      <c r="IC107" s="10"/>
      <c r="ID107" s="10"/>
      <c r="IE107" s="10"/>
      <c r="IF107" s="10"/>
      <c r="IG107" s="10"/>
      <c r="IH107" s="10"/>
      <c r="II107" s="10"/>
      <c r="IJ107" s="10"/>
      <c r="IK107" s="10"/>
      <c r="IL107" s="10"/>
      <c r="IM107" s="10"/>
      <c r="IN107" s="10"/>
      <c r="IO107" s="10"/>
      <c r="IP107" s="10"/>
      <c r="IQ107" s="10"/>
      <c r="IR107" s="10"/>
      <c r="IS107" s="10"/>
      <c r="IT107" s="10"/>
      <c r="IU107" s="10"/>
      <c r="IV107" s="10"/>
      <c r="IW107" s="10"/>
      <c r="IX107" s="10"/>
      <c r="IY107" s="10"/>
      <c r="IZ107" s="10"/>
      <c r="JA107" s="10"/>
      <c r="JB107" s="10"/>
      <c r="JC107" s="10"/>
      <c r="JD107" s="10"/>
      <c r="JE107" s="10"/>
      <c r="JF107" s="10"/>
      <c r="JG107" s="10"/>
      <c r="JH107" s="10"/>
      <c r="JI107" s="10"/>
      <c r="JJ107" s="10"/>
      <c r="JK107" s="10"/>
      <c r="JL107" s="10"/>
      <c r="JM107" s="10"/>
      <c r="JN107" s="10"/>
      <c r="JO107" s="10"/>
      <c r="JP107" s="10"/>
      <c r="JQ107" s="10"/>
      <c r="JR107" s="10"/>
      <c r="JS107" s="10"/>
      <c r="JT107" s="10"/>
    </row>
    <row r="108" spans="1:280" x14ac:dyDescent="0.2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35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HZ108" s="10"/>
      <c r="IA108" s="10"/>
      <c r="IB108" s="10"/>
      <c r="IC108" s="10"/>
      <c r="ID108" s="10"/>
      <c r="IE108" s="10"/>
      <c r="IF108" s="10"/>
      <c r="IG108" s="10"/>
      <c r="IH108" s="10"/>
      <c r="II108" s="10"/>
      <c r="IJ108" s="10"/>
      <c r="IK108" s="10"/>
      <c r="IL108" s="10"/>
      <c r="IM108" s="10"/>
      <c r="IN108" s="10"/>
      <c r="IO108" s="10"/>
      <c r="IP108" s="10"/>
      <c r="IQ108" s="10"/>
      <c r="IR108" s="10"/>
      <c r="IS108" s="10"/>
      <c r="IT108" s="10"/>
      <c r="IU108" s="10"/>
      <c r="IV108" s="10"/>
      <c r="IW108" s="10"/>
      <c r="IX108" s="10"/>
      <c r="IY108" s="10"/>
      <c r="IZ108" s="10"/>
      <c r="JA108" s="10"/>
      <c r="JB108" s="10"/>
      <c r="JC108" s="10"/>
      <c r="JD108" s="10"/>
      <c r="JE108" s="10"/>
      <c r="JF108" s="10"/>
      <c r="JG108" s="10"/>
      <c r="JH108" s="10"/>
      <c r="JI108" s="10"/>
      <c r="JJ108" s="10"/>
      <c r="JK108" s="10"/>
      <c r="JL108" s="10"/>
      <c r="JM108" s="10"/>
      <c r="JN108" s="10"/>
      <c r="JO108" s="10"/>
      <c r="JP108" s="10"/>
      <c r="JQ108" s="10"/>
      <c r="JR108" s="10"/>
      <c r="JS108" s="10"/>
      <c r="JT108" s="10"/>
    </row>
    <row r="109" spans="1:280" x14ac:dyDescent="0.2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35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HZ109" s="10"/>
      <c r="IA109" s="10"/>
      <c r="IB109" s="10"/>
      <c r="IC109" s="10"/>
      <c r="ID109" s="10"/>
      <c r="IE109" s="10"/>
      <c r="IF109" s="10"/>
      <c r="IG109" s="10"/>
      <c r="IH109" s="10"/>
      <c r="II109" s="10"/>
      <c r="IJ109" s="10"/>
      <c r="IK109" s="10"/>
      <c r="IL109" s="10"/>
      <c r="IM109" s="10"/>
      <c r="IN109" s="10"/>
      <c r="IO109" s="10"/>
      <c r="IP109" s="10"/>
      <c r="IQ109" s="10"/>
      <c r="IR109" s="10"/>
      <c r="IS109" s="10"/>
      <c r="IT109" s="10"/>
      <c r="IU109" s="10"/>
      <c r="IV109" s="10"/>
      <c r="IW109" s="10"/>
      <c r="IX109" s="10"/>
      <c r="IY109" s="10"/>
      <c r="IZ109" s="10"/>
      <c r="JA109" s="10"/>
      <c r="JB109" s="10"/>
      <c r="JC109" s="10"/>
      <c r="JD109" s="10"/>
      <c r="JE109" s="10"/>
      <c r="JF109" s="10"/>
      <c r="JG109" s="10"/>
      <c r="JH109" s="10"/>
      <c r="JI109" s="10"/>
      <c r="JJ109" s="10"/>
      <c r="JK109" s="10"/>
      <c r="JL109" s="10"/>
      <c r="JM109" s="10"/>
      <c r="JN109" s="10"/>
      <c r="JO109" s="10"/>
      <c r="JP109" s="10"/>
      <c r="JQ109" s="10"/>
      <c r="JR109" s="10"/>
      <c r="JS109" s="10"/>
      <c r="JT109" s="10"/>
    </row>
    <row r="110" spans="1:280" x14ac:dyDescent="0.2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35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HZ110" s="10"/>
      <c r="IA110" s="10"/>
      <c r="IB110" s="10"/>
      <c r="IC110" s="10"/>
      <c r="ID110" s="10"/>
      <c r="IE110" s="10"/>
      <c r="IF110" s="10"/>
      <c r="IG110" s="10"/>
      <c r="IH110" s="10"/>
      <c r="II110" s="10"/>
      <c r="IJ110" s="10"/>
      <c r="IK110" s="10"/>
      <c r="IL110" s="10"/>
      <c r="IM110" s="10"/>
      <c r="IN110" s="10"/>
      <c r="IO110" s="10"/>
      <c r="IP110" s="10"/>
      <c r="IQ110" s="10"/>
      <c r="IR110" s="10"/>
      <c r="IS110" s="10"/>
      <c r="IT110" s="10"/>
      <c r="IU110" s="10"/>
      <c r="IV110" s="10"/>
      <c r="IW110" s="10"/>
      <c r="IX110" s="10"/>
      <c r="IY110" s="10"/>
      <c r="IZ110" s="10"/>
      <c r="JA110" s="10"/>
      <c r="JB110" s="10"/>
      <c r="JC110" s="10"/>
      <c r="JD110" s="10"/>
      <c r="JE110" s="10"/>
      <c r="JF110" s="10"/>
      <c r="JG110" s="10"/>
      <c r="JH110" s="10"/>
      <c r="JI110" s="10"/>
      <c r="JJ110" s="10"/>
      <c r="JK110" s="10"/>
      <c r="JL110" s="10"/>
      <c r="JM110" s="10"/>
      <c r="JN110" s="10"/>
      <c r="JO110" s="10"/>
      <c r="JP110" s="10"/>
      <c r="JQ110" s="10"/>
      <c r="JR110" s="10"/>
      <c r="JS110" s="10"/>
      <c r="JT110" s="10"/>
    </row>
    <row r="111" spans="1:280" x14ac:dyDescent="0.2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35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HZ111" s="10"/>
      <c r="IA111" s="10"/>
      <c r="IB111" s="10"/>
      <c r="IC111" s="10"/>
      <c r="ID111" s="10"/>
      <c r="IE111" s="10"/>
      <c r="IF111" s="10"/>
      <c r="IG111" s="10"/>
      <c r="IH111" s="10"/>
      <c r="II111" s="10"/>
      <c r="IJ111" s="10"/>
      <c r="IK111" s="10"/>
      <c r="IL111" s="10"/>
      <c r="IM111" s="10"/>
      <c r="IN111" s="10"/>
      <c r="IO111" s="10"/>
      <c r="IP111" s="10"/>
      <c r="IQ111" s="10"/>
      <c r="IR111" s="10"/>
      <c r="IS111" s="10"/>
      <c r="IT111" s="10"/>
      <c r="IU111" s="10"/>
      <c r="IV111" s="10"/>
      <c r="IW111" s="10"/>
      <c r="IX111" s="10"/>
      <c r="IY111" s="10"/>
      <c r="IZ111" s="10"/>
      <c r="JA111" s="10"/>
      <c r="JB111" s="10"/>
      <c r="JC111" s="10"/>
      <c r="JD111" s="10"/>
      <c r="JE111" s="10"/>
      <c r="JF111" s="10"/>
      <c r="JG111" s="10"/>
      <c r="JH111" s="10"/>
      <c r="JI111" s="10"/>
      <c r="JJ111" s="10"/>
      <c r="JK111" s="10"/>
      <c r="JL111" s="10"/>
      <c r="JM111" s="10"/>
      <c r="JN111" s="10"/>
      <c r="JO111" s="10"/>
      <c r="JP111" s="10"/>
      <c r="JQ111" s="10"/>
      <c r="JR111" s="10"/>
      <c r="JS111" s="10"/>
      <c r="JT111" s="10"/>
    </row>
    <row r="112" spans="1:280" x14ac:dyDescent="0.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35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HZ112" s="10"/>
      <c r="IA112" s="10"/>
      <c r="IB112" s="10"/>
      <c r="IC112" s="10"/>
      <c r="ID112" s="10"/>
      <c r="IE112" s="10"/>
      <c r="IF112" s="10"/>
      <c r="IG112" s="10"/>
      <c r="IH112" s="10"/>
      <c r="II112" s="10"/>
      <c r="IJ112" s="10"/>
      <c r="IK112" s="10"/>
      <c r="IL112" s="10"/>
      <c r="IM112" s="10"/>
      <c r="IN112" s="10"/>
      <c r="IO112" s="10"/>
      <c r="IP112" s="10"/>
      <c r="IQ112" s="10"/>
      <c r="IR112" s="10"/>
      <c r="IS112" s="10"/>
      <c r="IT112" s="10"/>
      <c r="IU112" s="10"/>
      <c r="IV112" s="10"/>
      <c r="IW112" s="10"/>
      <c r="IX112" s="10"/>
      <c r="IY112" s="10"/>
      <c r="IZ112" s="10"/>
      <c r="JA112" s="10"/>
      <c r="JB112" s="10"/>
      <c r="JC112" s="10"/>
      <c r="JD112" s="10"/>
      <c r="JE112" s="10"/>
      <c r="JF112" s="10"/>
      <c r="JG112" s="10"/>
      <c r="JH112" s="10"/>
      <c r="JI112" s="10"/>
      <c r="JJ112" s="10"/>
      <c r="JK112" s="10"/>
      <c r="JL112" s="10"/>
      <c r="JM112" s="10"/>
      <c r="JN112" s="10"/>
      <c r="JO112" s="10"/>
      <c r="JP112" s="10"/>
      <c r="JQ112" s="10"/>
      <c r="JR112" s="10"/>
      <c r="JS112" s="10"/>
      <c r="JT112" s="10"/>
    </row>
    <row r="113" spans="1:280" x14ac:dyDescent="0.2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35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HZ113" s="10"/>
      <c r="IA113" s="10"/>
      <c r="IB113" s="10"/>
      <c r="IC113" s="10"/>
      <c r="ID113" s="10"/>
      <c r="IE113" s="10"/>
      <c r="IF113" s="10"/>
      <c r="IG113" s="10"/>
      <c r="IH113" s="10"/>
      <c r="II113" s="10"/>
      <c r="IJ113" s="10"/>
      <c r="IK113" s="10"/>
      <c r="IL113" s="10"/>
      <c r="IM113" s="10"/>
      <c r="IN113" s="10"/>
      <c r="IO113" s="10"/>
      <c r="IP113" s="10"/>
      <c r="IQ113" s="10"/>
      <c r="IR113" s="10"/>
      <c r="IS113" s="10"/>
      <c r="IT113" s="10"/>
      <c r="IU113" s="10"/>
      <c r="IV113" s="10"/>
      <c r="IW113" s="10"/>
      <c r="IX113" s="10"/>
      <c r="IY113" s="10"/>
      <c r="IZ113" s="10"/>
      <c r="JA113" s="10"/>
      <c r="JB113" s="10"/>
      <c r="JC113" s="10"/>
      <c r="JD113" s="10"/>
      <c r="JE113" s="10"/>
      <c r="JF113" s="10"/>
      <c r="JG113" s="10"/>
      <c r="JH113" s="10"/>
      <c r="JI113" s="10"/>
      <c r="JJ113" s="10"/>
      <c r="JK113" s="10"/>
      <c r="JL113" s="10"/>
      <c r="JM113" s="10"/>
      <c r="JN113" s="10"/>
      <c r="JO113" s="10"/>
      <c r="JP113" s="10"/>
      <c r="JQ113" s="10"/>
      <c r="JR113" s="10"/>
      <c r="JS113" s="10"/>
      <c r="JT113" s="10"/>
    </row>
    <row r="114" spans="1:280" x14ac:dyDescent="0.2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35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HZ114" s="10"/>
      <c r="IA114" s="10"/>
      <c r="IB114" s="10"/>
      <c r="IC114" s="10"/>
      <c r="ID114" s="10"/>
      <c r="IE114" s="10"/>
      <c r="IF114" s="10"/>
      <c r="IG114" s="10"/>
      <c r="IH114" s="10"/>
      <c r="II114" s="10"/>
      <c r="IJ114" s="10"/>
      <c r="IK114" s="10"/>
      <c r="IL114" s="10"/>
      <c r="IM114" s="10"/>
      <c r="IN114" s="10"/>
      <c r="IO114" s="10"/>
      <c r="IP114" s="10"/>
      <c r="IQ114" s="10"/>
      <c r="IR114" s="10"/>
      <c r="IS114" s="10"/>
      <c r="IT114" s="10"/>
      <c r="IU114" s="10"/>
      <c r="IV114" s="10"/>
      <c r="IW114" s="10"/>
      <c r="IX114" s="10"/>
      <c r="IY114" s="10"/>
      <c r="IZ114" s="10"/>
      <c r="JA114" s="10"/>
      <c r="JB114" s="10"/>
      <c r="JC114" s="10"/>
      <c r="JD114" s="10"/>
      <c r="JE114" s="10"/>
      <c r="JF114" s="10"/>
      <c r="JG114" s="10"/>
      <c r="JH114" s="10"/>
      <c r="JI114" s="10"/>
      <c r="JJ114" s="10"/>
      <c r="JK114" s="10"/>
      <c r="JL114" s="10"/>
      <c r="JM114" s="10"/>
      <c r="JN114" s="10"/>
      <c r="JO114" s="10"/>
      <c r="JP114" s="10"/>
      <c r="JQ114" s="10"/>
      <c r="JR114" s="10"/>
      <c r="JS114" s="10"/>
      <c r="JT114" s="10"/>
    </row>
    <row r="115" spans="1:280" x14ac:dyDescent="0.2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35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HZ115" s="10"/>
      <c r="IA115" s="10"/>
      <c r="IB115" s="10"/>
      <c r="IC115" s="10"/>
      <c r="ID115" s="10"/>
      <c r="IE115" s="10"/>
      <c r="IF115" s="10"/>
      <c r="IG115" s="10"/>
      <c r="IH115" s="10"/>
      <c r="II115" s="10"/>
      <c r="IJ115" s="10"/>
      <c r="IK115" s="10"/>
      <c r="IL115" s="10"/>
      <c r="IM115" s="10"/>
      <c r="IN115" s="10"/>
      <c r="IO115" s="10"/>
      <c r="IP115" s="10"/>
      <c r="IQ115" s="10"/>
      <c r="IR115" s="10"/>
      <c r="IS115" s="10"/>
      <c r="IT115" s="10"/>
      <c r="IU115" s="10"/>
      <c r="IV115" s="10"/>
      <c r="IW115" s="10"/>
      <c r="IX115" s="10"/>
      <c r="IY115" s="10"/>
      <c r="IZ115" s="10"/>
      <c r="JA115" s="10"/>
      <c r="JB115" s="10"/>
      <c r="JC115" s="10"/>
      <c r="JD115" s="10"/>
      <c r="JE115" s="10"/>
      <c r="JF115" s="10"/>
      <c r="JG115" s="10"/>
      <c r="JH115" s="10"/>
      <c r="JI115" s="10"/>
      <c r="JJ115" s="10"/>
      <c r="JK115" s="10"/>
      <c r="JL115" s="10"/>
      <c r="JM115" s="10"/>
      <c r="JN115" s="10"/>
      <c r="JO115" s="10"/>
      <c r="JP115" s="10"/>
      <c r="JQ115" s="10"/>
      <c r="JR115" s="10"/>
      <c r="JS115" s="10"/>
      <c r="JT115" s="10"/>
    </row>
    <row r="116" spans="1:280" x14ac:dyDescent="0.2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35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HZ116" s="10"/>
      <c r="IA116" s="10"/>
      <c r="IB116" s="10"/>
      <c r="IC116" s="10"/>
      <c r="ID116" s="10"/>
      <c r="IE116" s="10"/>
      <c r="IF116" s="10"/>
      <c r="IG116" s="10"/>
      <c r="IH116" s="10"/>
      <c r="II116" s="10"/>
      <c r="IJ116" s="10"/>
      <c r="IK116" s="10"/>
      <c r="IL116" s="10"/>
      <c r="IM116" s="10"/>
      <c r="IN116" s="10"/>
      <c r="IO116" s="10"/>
      <c r="IP116" s="10"/>
      <c r="IQ116" s="10"/>
      <c r="IR116" s="10"/>
      <c r="IS116" s="10"/>
      <c r="IT116" s="10"/>
      <c r="IU116" s="10"/>
      <c r="IV116" s="10"/>
      <c r="IW116" s="10"/>
      <c r="IX116" s="10"/>
      <c r="IY116" s="10"/>
      <c r="IZ116" s="10"/>
      <c r="JA116" s="10"/>
      <c r="JB116" s="10"/>
      <c r="JC116" s="10"/>
      <c r="JD116" s="10"/>
      <c r="JE116" s="10"/>
      <c r="JF116" s="10"/>
      <c r="JG116" s="10"/>
      <c r="JH116" s="10"/>
      <c r="JI116" s="10"/>
      <c r="JJ116" s="10"/>
      <c r="JK116" s="10"/>
      <c r="JL116" s="10"/>
      <c r="JM116" s="10"/>
      <c r="JN116" s="10"/>
      <c r="JO116" s="10"/>
      <c r="JP116" s="10"/>
      <c r="JQ116" s="10"/>
      <c r="JR116" s="10"/>
      <c r="JS116" s="10"/>
      <c r="JT116" s="10"/>
    </row>
    <row r="117" spans="1:280" x14ac:dyDescent="0.2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35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HZ117" s="10"/>
      <c r="IA117" s="10"/>
      <c r="IB117" s="10"/>
      <c r="IC117" s="10"/>
      <c r="ID117" s="10"/>
      <c r="IE117" s="10"/>
      <c r="IF117" s="10"/>
      <c r="IG117" s="10"/>
      <c r="IH117" s="10"/>
      <c r="II117" s="10"/>
      <c r="IJ117" s="10"/>
      <c r="IK117" s="10"/>
      <c r="IL117" s="10"/>
      <c r="IM117" s="10"/>
      <c r="IN117" s="10"/>
      <c r="IO117" s="10"/>
      <c r="IP117" s="10"/>
      <c r="IQ117" s="10"/>
      <c r="IR117" s="10"/>
      <c r="IS117" s="10"/>
      <c r="IT117" s="10"/>
      <c r="IU117" s="10"/>
      <c r="IV117" s="10"/>
      <c r="IW117" s="10"/>
      <c r="IX117" s="10"/>
      <c r="IY117" s="10"/>
      <c r="IZ117" s="10"/>
      <c r="JA117" s="10"/>
      <c r="JB117" s="10"/>
      <c r="JC117" s="10"/>
      <c r="JD117" s="10"/>
      <c r="JE117" s="10"/>
      <c r="JF117" s="10"/>
      <c r="JG117" s="10"/>
      <c r="JH117" s="10"/>
      <c r="JI117" s="10"/>
      <c r="JJ117" s="10"/>
      <c r="JK117" s="10"/>
      <c r="JL117" s="10"/>
      <c r="JM117" s="10"/>
      <c r="JN117" s="10"/>
      <c r="JO117" s="10"/>
      <c r="JP117" s="10"/>
      <c r="JQ117" s="10"/>
      <c r="JR117" s="10"/>
      <c r="JS117" s="10"/>
      <c r="JT117" s="10"/>
    </row>
    <row r="118" spans="1:280" x14ac:dyDescent="0.2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35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HZ118" s="10"/>
      <c r="IA118" s="10"/>
      <c r="IB118" s="10"/>
      <c r="IC118" s="10"/>
      <c r="ID118" s="10"/>
      <c r="IE118" s="10"/>
      <c r="IF118" s="10"/>
      <c r="IG118" s="10"/>
      <c r="IH118" s="10"/>
      <c r="II118" s="10"/>
      <c r="IJ118" s="10"/>
      <c r="IK118" s="10"/>
      <c r="IL118" s="10"/>
      <c r="IM118" s="10"/>
      <c r="IN118" s="10"/>
      <c r="IO118" s="10"/>
      <c r="IP118" s="10"/>
      <c r="IQ118" s="10"/>
      <c r="IR118" s="10"/>
      <c r="IS118" s="10"/>
      <c r="IT118" s="10"/>
      <c r="IU118" s="10"/>
      <c r="IV118" s="10"/>
      <c r="IW118" s="10"/>
      <c r="IX118" s="10"/>
      <c r="IY118" s="10"/>
      <c r="IZ118" s="10"/>
      <c r="JA118" s="10"/>
      <c r="JB118" s="10"/>
      <c r="JC118" s="10"/>
      <c r="JD118" s="10"/>
      <c r="JE118" s="10"/>
      <c r="JF118" s="10"/>
      <c r="JG118" s="10"/>
      <c r="JH118" s="10"/>
      <c r="JI118" s="10"/>
      <c r="JJ118" s="10"/>
      <c r="JK118" s="10"/>
      <c r="JL118" s="10"/>
      <c r="JM118" s="10"/>
      <c r="JN118" s="10"/>
      <c r="JO118" s="10"/>
      <c r="JP118" s="10"/>
      <c r="JQ118" s="10"/>
      <c r="JR118" s="10"/>
      <c r="JS118" s="10"/>
      <c r="JT118" s="10"/>
    </row>
    <row r="119" spans="1:280" x14ac:dyDescent="0.2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35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HZ119" s="10"/>
      <c r="IA119" s="10"/>
      <c r="IB119" s="10"/>
      <c r="IC119" s="10"/>
      <c r="ID119" s="10"/>
      <c r="IE119" s="10"/>
      <c r="IF119" s="10"/>
      <c r="IG119" s="10"/>
      <c r="IH119" s="10"/>
      <c r="II119" s="10"/>
      <c r="IJ119" s="10"/>
      <c r="IK119" s="10"/>
      <c r="IL119" s="10"/>
      <c r="IM119" s="10"/>
      <c r="IN119" s="10"/>
      <c r="IO119" s="10"/>
      <c r="IP119" s="10"/>
      <c r="IQ119" s="10"/>
      <c r="IR119" s="10"/>
      <c r="IS119" s="10"/>
      <c r="IT119" s="10"/>
      <c r="IU119" s="10"/>
      <c r="IV119" s="10"/>
      <c r="IW119" s="10"/>
      <c r="IX119" s="10"/>
      <c r="IY119" s="10"/>
      <c r="IZ119" s="10"/>
      <c r="JA119" s="10"/>
      <c r="JB119" s="10"/>
      <c r="JC119" s="10"/>
      <c r="JD119" s="10"/>
      <c r="JE119" s="10"/>
      <c r="JF119" s="10"/>
      <c r="JG119" s="10"/>
      <c r="JH119" s="10"/>
      <c r="JI119" s="10"/>
      <c r="JJ119" s="10"/>
      <c r="JK119" s="10"/>
      <c r="JL119" s="10"/>
      <c r="JM119" s="10"/>
      <c r="JN119" s="10"/>
      <c r="JO119" s="10"/>
      <c r="JP119" s="10"/>
      <c r="JQ119" s="10"/>
      <c r="JR119" s="10"/>
      <c r="JS119" s="10"/>
      <c r="JT119" s="10"/>
    </row>
    <row r="120" spans="1:280" x14ac:dyDescent="0.2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35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HZ120" s="10"/>
      <c r="IA120" s="10"/>
      <c r="IB120" s="10"/>
      <c r="IC120" s="10"/>
      <c r="ID120" s="10"/>
      <c r="IE120" s="10"/>
      <c r="IF120" s="10"/>
      <c r="IG120" s="10"/>
      <c r="IH120" s="10"/>
      <c r="II120" s="10"/>
      <c r="IJ120" s="10"/>
      <c r="IK120" s="10"/>
      <c r="IL120" s="10"/>
      <c r="IM120" s="10"/>
      <c r="IN120" s="10"/>
      <c r="IO120" s="10"/>
      <c r="IP120" s="10"/>
      <c r="IQ120" s="10"/>
      <c r="IR120" s="10"/>
      <c r="IS120" s="10"/>
      <c r="IT120" s="10"/>
      <c r="IU120" s="10"/>
      <c r="IV120" s="10"/>
      <c r="IW120" s="10"/>
      <c r="IX120" s="10"/>
      <c r="IY120" s="10"/>
      <c r="IZ120" s="10"/>
      <c r="JA120" s="10"/>
      <c r="JB120" s="10"/>
      <c r="JC120" s="10"/>
      <c r="JD120" s="10"/>
      <c r="JE120" s="10"/>
      <c r="JF120" s="10"/>
      <c r="JG120" s="10"/>
      <c r="JH120" s="10"/>
      <c r="JI120" s="10"/>
      <c r="JJ120" s="10"/>
      <c r="JK120" s="10"/>
      <c r="JL120" s="10"/>
      <c r="JM120" s="10"/>
      <c r="JN120" s="10"/>
      <c r="JO120" s="10"/>
      <c r="JP120" s="10"/>
      <c r="JQ120" s="10"/>
      <c r="JR120" s="10"/>
      <c r="JS120" s="10"/>
      <c r="JT120" s="10"/>
    </row>
    <row r="121" spans="1:280" x14ac:dyDescent="0.2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35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HZ121" s="10"/>
      <c r="IA121" s="10"/>
      <c r="IB121" s="10"/>
      <c r="IC121" s="10"/>
      <c r="ID121" s="10"/>
      <c r="IE121" s="10"/>
      <c r="IF121" s="10"/>
      <c r="IG121" s="10"/>
      <c r="IH121" s="10"/>
      <c r="II121" s="10"/>
      <c r="IJ121" s="10"/>
      <c r="IK121" s="10"/>
      <c r="IL121" s="10"/>
      <c r="IM121" s="10"/>
      <c r="IN121" s="10"/>
      <c r="IO121" s="10"/>
      <c r="IP121" s="10"/>
      <c r="IQ121" s="10"/>
      <c r="IR121" s="10"/>
      <c r="IS121" s="10"/>
      <c r="IT121" s="10"/>
      <c r="IU121" s="10"/>
      <c r="IV121" s="10"/>
      <c r="IW121" s="10"/>
      <c r="IX121" s="10"/>
      <c r="IY121" s="10"/>
      <c r="IZ121" s="10"/>
      <c r="JA121" s="10"/>
      <c r="JB121" s="10"/>
      <c r="JC121" s="10"/>
      <c r="JD121" s="10"/>
      <c r="JE121" s="10"/>
      <c r="JF121" s="10"/>
      <c r="JG121" s="10"/>
      <c r="JH121" s="10"/>
      <c r="JI121" s="10"/>
      <c r="JJ121" s="10"/>
      <c r="JK121" s="10"/>
      <c r="JL121" s="10"/>
      <c r="JM121" s="10"/>
      <c r="JN121" s="10"/>
      <c r="JO121" s="10"/>
      <c r="JP121" s="10"/>
      <c r="JQ121" s="10"/>
      <c r="JR121" s="10"/>
      <c r="JS121" s="10"/>
      <c r="JT121" s="10"/>
    </row>
    <row r="122" spans="1:280" x14ac:dyDescent="0.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35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HZ122" s="10"/>
      <c r="IA122" s="10"/>
      <c r="IB122" s="10"/>
      <c r="IC122" s="10"/>
      <c r="ID122" s="10"/>
      <c r="IE122" s="10"/>
      <c r="IF122" s="10"/>
      <c r="IG122" s="10"/>
      <c r="IH122" s="10"/>
      <c r="II122" s="10"/>
      <c r="IJ122" s="10"/>
      <c r="IK122" s="10"/>
      <c r="IL122" s="10"/>
      <c r="IM122" s="10"/>
      <c r="IN122" s="10"/>
      <c r="IO122" s="10"/>
      <c r="IP122" s="10"/>
      <c r="IQ122" s="10"/>
      <c r="IR122" s="10"/>
      <c r="IS122" s="10"/>
      <c r="IT122" s="10"/>
      <c r="IU122" s="10"/>
      <c r="IV122" s="10"/>
      <c r="IW122" s="10"/>
      <c r="IX122" s="10"/>
      <c r="IY122" s="10"/>
      <c r="IZ122" s="10"/>
      <c r="JA122" s="10"/>
      <c r="JB122" s="10"/>
      <c r="JC122" s="10"/>
      <c r="JD122" s="10"/>
      <c r="JE122" s="10"/>
      <c r="JF122" s="10"/>
      <c r="JG122" s="10"/>
      <c r="JH122" s="10"/>
      <c r="JI122" s="10"/>
      <c r="JJ122" s="10"/>
      <c r="JK122" s="10"/>
      <c r="JL122" s="10"/>
      <c r="JM122" s="10"/>
      <c r="JN122" s="10"/>
      <c r="JO122" s="10"/>
      <c r="JP122" s="10"/>
      <c r="JQ122" s="10"/>
      <c r="JR122" s="10"/>
      <c r="JS122" s="10"/>
      <c r="JT122" s="10"/>
    </row>
    <row r="123" spans="1:280" x14ac:dyDescent="0.2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35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HZ123" s="10"/>
      <c r="IA123" s="10"/>
      <c r="IB123" s="10"/>
      <c r="IC123" s="10"/>
      <c r="ID123" s="10"/>
      <c r="IE123" s="10"/>
      <c r="IF123" s="10"/>
      <c r="IG123" s="10"/>
      <c r="IH123" s="10"/>
      <c r="II123" s="10"/>
      <c r="IJ123" s="10"/>
      <c r="IK123" s="10"/>
      <c r="IL123" s="10"/>
      <c r="IM123" s="10"/>
      <c r="IN123" s="10"/>
      <c r="IO123" s="10"/>
      <c r="IP123" s="10"/>
      <c r="IQ123" s="10"/>
      <c r="IR123" s="10"/>
      <c r="IS123" s="10"/>
      <c r="IT123" s="10"/>
      <c r="IU123" s="10"/>
      <c r="IV123" s="10"/>
      <c r="IW123" s="10"/>
      <c r="IX123" s="10"/>
      <c r="IY123" s="10"/>
      <c r="IZ123" s="10"/>
      <c r="JA123" s="10"/>
      <c r="JB123" s="10"/>
      <c r="JC123" s="10"/>
      <c r="JD123" s="10"/>
      <c r="JE123" s="10"/>
      <c r="JF123" s="10"/>
      <c r="JG123" s="10"/>
      <c r="JH123" s="10"/>
      <c r="JI123" s="10"/>
      <c r="JJ123" s="10"/>
      <c r="JK123" s="10"/>
      <c r="JL123" s="10"/>
      <c r="JM123" s="10"/>
      <c r="JN123" s="10"/>
      <c r="JO123" s="10"/>
      <c r="JP123" s="10"/>
      <c r="JQ123" s="10"/>
      <c r="JR123" s="10"/>
      <c r="JS123" s="10"/>
      <c r="JT123" s="10"/>
    </row>
    <row r="124" spans="1:280" x14ac:dyDescent="0.2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35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HZ124" s="10"/>
      <c r="IA124" s="10"/>
      <c r="IB124" s="10"/>
      <c r="IC124" s="10"/>
      <c r="ID124" s="10"/>
      <c r="IE124" s="10"/>
      <c r="IF124" s="10"/>
      <c r="IG124" s="10"/>
      <c r="IH124" s="10"/>
      <c r="II124" s="10"/>
      <c r="IJ124" s="10"/>
      <c r="IK124" s="10"/>
      <c r="IL124" s="10"/>
      <c r="IM124" s="10"/>
      <c r="IN124" s="10"/>
      <c r="IO124" s="10"/>
      <c r="IP124" s="10"/>
      <c r="IQ124" s="10"/>
      <c r="IR124" s="10"/>
      <c r="IS124" s="10"/>
      <c r="IT124" s="10"/>
      <c r="IU124" s="10"/>
      <c r="IV124" s="10"/>
      <c r="IW124" s="10"/>
      <c r="IX124" s="10"/>
      <c r="IY124" s="10"/>
      <c r="IZ124" s="10"/>
      <c r="JA124" s="10"/>
      <c r="JB124" s="10"/>
      <c r="JC124" s="10"/>
      <c r="JD124" s="10"/>
      <c r="JE124" s="10"/>
      <c r="JF124" s="10"/>
      <c r="JG124" s="10"/>
      <c r="JH124" s="10"/>
      <c r="JI124" s="10"/>
      <c r="JJ124" s="10"/>
      <c r="JK124" s="10"/>
      <c r="JL124" s="10"/>
      <c r="JM124" s="10"/>
      <c r="JN124" s="10"/>
      <c r="JO124" s="10"/>
      <c r="JP124" s="10"/>
      <c r="JQ124" s="10"/>
      <c r="JR124" s="10"/>
      <c r="JS124" s="10"/>
      <c r="JT124" s="10"/>
    </row>
    <row r="125" spans="1:280" x14ac:dyDescent="0.2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35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HZ125" s="10"/>
      <c r="IA125" s="10"/>
      <c r="IB125" s="10"/>
      <c r="IC125" s="10"/>
      <c r="ID125" s="10"/>
      <c r="IE125" s="10"/>
      <c r="IF125" s="10"/>
      <c r="IG125" s="10"/>
      <c r="IH125" s="10"/>
      <c r="II125" s="10"/>
      <c r="IJ125" s="10"/>
      <c r="IK125" s="10"/>
      <c r="IL125" s="10"/>
      <c r="IM125" s="10"/>
      <c r="IN125" s="10"/>
      <c r="IO125" s="10"/>
      <c r="IP125" s="10"/>
      <c r="IQ125" s="10"/>
      <c r="IR125" s="10"/>
      <c r="IS125" s="10"/>
      <c r="IT125" s="10"/>
      <c r="IU125" s="10"/>
      <c r="IV125" s="10"/>
      <c r="IW125" s="10"/>
      <c r="IX125" s="10"/>
      <c r="IY125" s="10"/>
      <c r="IZ125" s="10"/>
      <c r="JA125" s="10"/>
      <c r="JB125" s="10"/>
      <c r="JC125" s="10"/>
      <c r="JD125" s="10"/>
      <c r="JE125" s="10"/>
      <c r="JF125" s="10"/>
      <c r="JG125" s="10"/>
      <c r="JH125" s="10"/>
      <c r="JI125" s="10"/>
      <c r="JJ125" s="10"/>
      <c r="JK125" s="10"/>
      <c r="JL125" s="10"/>
      <c r="JM125" s="10"/>
      <c r="JN125" s="10"/>
      <c r="JO125" s="10"/>
      <c r="JP125" s="10"/>
      <c r="JQ125" s="10"/>
      <c r="JR125" s="10"/>
      <c r="JS125" s="10"/>
      <c r="JT125" s="10"/>
    </row>
    <row r="126" spans="1:280" x14ac:dyDescent="0.2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35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HZ126" s="10"/>
      <c r="IA126" s="10"/>
      <c r="IB126" s="10"/>
      <c r="IC126" s="10"/>
      <c r="ID126" s="10"/>
      <c r="IE126" s="10"/>
      <c r="IF126" s="10"/>
      <c r="IG126" s="10"/>
      <c r="IH126" s="10"/>
      <c r="II126" s="10"/>
      <c r="IJ126" s="10"/>
      <c r="IK126" s="10"/>
      <c r="IL126" s="10"/>
      <c r="IM126" s="10"/>
      <c r="IN126" s="10"/>
      <c r="IO126" s="10"/>
      <c r="IP126" s="10"/>
      <c r="IQ126" s="10"/>
      <c r="IR126" s="10"/>
      <c r="IS126" s="10"/>
      <c r="IT126" s="10"/>
      <c r="IU126" s="10"/>
      <c r="IV126" s="10"/>
      <c r="IW126" s="10"/>
      <c r="IX126" s="10"/>
      <c r="IY126" s="10"/>
      <c r="IZ126" s="10"/>
      <c r="JA126" s="10"/>
      <c r="JB126" s="10"/>
      <c r="JC126" s="10"/>
      <c r="JD126" s="10"/>
      <c r="JE126" s="10"/>
      <c r="JF126" s="10"/>
      <c r="JG126" s="10"/>
      <c r="JH126" s="10"/>
      <c r="JI126" s="10"/>
      <c r="JJ126" s="10"/>
      <c r="JK126" s="10"/>
      <c r="JL126" s="10"/>
      <c r="JM126" s="10"/>
      <c r="JN126" s="10"/>
      <c r="JO126" s="10"/>
      <c r="JP126" s="10"/>
      <c r="JQ126" s="10"/>
      <c r="JR126" s="10"/>
      <c r="JS126" s="10"/>
      <c r="JT126" s="10"/>
    </row>
    <row r="127" spans="1:280" x14ac:dyDescent="0.2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35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HZ127" s="10"/>
      <c r="IA127" s="10"/>
      <c r="IB127" s="10"/>
      <c r="IC127" s="10"/>
      <c r="ID127" s="10"/>
      <c r="IE127" s="10"/>
      <c r="IF127" s="10"/>
      <c r="IG127" s="10"/>
      <c r="IH127" s="10"/>
      <c r="II127" s="10"/>
      <c r="IJ127" s="10"/>
      <c r="IK127" s="10"/>
      <c r="IL127" s="10"/>
      <c r="IM127" s="10"/>
      <c r="IN127" s="10"/>
      <c r="IO127" s="10"/>
      <c r="IP127" s="10"/>
      <c r="IQ127" s="10"/>
      <c r="IR127" s="10"/>
      <c r="IS127" s="10"/>
      <c r="IT127" s="10"/>
      <c r="IU127" s="10"/>
      <c r="IV127" s="10"/>
      <c r="IW127" s="10"/>
      <c r="IX127" s="10"/>
      <c r="IY127" s="10"/>
      <c r="IZ127" s="10"/>
      <c r="JA127" s="10"/>
      <c r="JB127" s="10"/>
      <c r="JC127" s="10"/>
      <c r="JD127" s="10"/>
      <c r="JE127" s="10"/>
      <c r="JF127" s="10"/>
      <c r="JG127" s="10"/>
      <c r="JH127" s="10"/>
      <c r="JI127" s="10"/>
      <c r="JJ127" s="10"/>
      <c r="JK127" s="10"/>
      <c r="JL127" s="10"/>
      <c r="JM127" s="10"/>
      <c r="JN127" s="10"/>
      <c r="JO127" s="10"/>
      <c r="JP127" s="10"/>
      <c r="JQ127" s="10"/>
      <c r="JR127" s="10"/>
      <c r="JS127" s="10"/>
      <c r="JT127" s="10"/>
    </row>
    <row r="128" spans="1:280" x14ac:dyDescent="0.2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35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HZ128" s="10"/>
      <c r="IA128" s="10"/>
      <c r="IB128" s="10"/>
      <c r="IC128" s="10"/>
      <c r="ID128" s="10"/>
      <c r="IE128" s="10"/>
      <c r="IF128" s="10"/>
      <c r="IG128" s="10"/>
      <c r="IH128" s="10"/>
      <c r="II128" s="10"/>
      <c r="IJ128" s="10"/>
      <c r="IK128" s="10"/>
      <c r="IL128" s="10"/>
      <c r="IM128" s="10"/>
      <c r="IN128" s="10"/>
      <c r="IO128" s="10"/>
      <c r="IP128" s="10"/>
      <c r="IQ128" s="10"/>
      <c r="IR128" s="10"/>
      <c r="IS128" s="10"/>
      <c r="IT128" s="10"/>
      <c r="IU128" s="10"/>
      <c r="IV128" s="10"/>
      <c r="IW128" s="10"/>
      <c r="IX128" s="10"/>
      <c r="IY128" s="10"/>
      <c r="IZ128" s="10"/>
      <c r="JA128" s="10"/>
      <c r="JB128" s="10"/>
      <c r="JC128" s="10"/>
      <c r="JD128" s="10"/>
      <c r="JE128" s="10"/>
      <c r="JF128" s="10"/>
      <c r="JG128" s="10"/>
      <c r="JH128" s="10"/>
      <c r="JI128" s="10"/>
      <c r="JJ128" s="10"/>
      <c r="JK128" s="10"/>
      <c r="JL128" s="10"/>
      <c r="JM128" s="10"/>
      <c r="JN128" s="10"/>
      <c r="JO128" s="10"/>
      <c r="JP128" s="10"/>
      <c r="JQ128" s="10"/>
      <c r="JR128" s="10"/>
      <c r="JS128" s="10"/>
      <c r="JT128" s="10"/>
    </row>
    <row r="129" spans="1:280" x14ac:dyDescent="0.2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35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HZ129" s="10"/>
      <c r="IA129" s="10"/>
      <c r="IB129" s="10"/>
      <c r="IC129" s="10"/>
      <c r="ID129" s="10"/>
      <c r="IE129" s="10"/>
      <c r="IF129" s="10"/>
      <c r="IG129" s="10"/>
      <c r="IH129" s="10"/>
      <c r="II129" s="10"/>
      <c r="IJ129" s="10"/>
      <c r="IK129" s="10"/>
      <c r="IL129" s="10"/>
      <c r="IM129" s="10"/>
      <c r="IN129" s="10"/>
      <c r="IO129" s="10"/>
      <c r="IP129" s="10"/>
      <c r="IQ129" s="10"/>
      <c r="IR129" s="10"/>
      <c r="IS129" s="10"/>
      <c r="IT129" s="10"/>
      <c r="IU129" s="10"/>
      <c r="IV129" s="10"/>
      <c r="IW129" s="10"/>
      <c r="IX129" s="10"/>
      <c r="IY129" s="10"/>
      <c r="IZ129" s="10"/>
      <c r="JA129" s="10"/>
      <c r="JB129" s="10"/>
      <c r="JC129" s="10"/>
      <c r="JD129" s="10"/>
      <c r="JE129" s="10"/>
      <c r="JF129" s="10"/>
      <c r="JG129" s="10"/>
      <c r="JH129" s="10"/>
      <c r="JI129" s="10"/>
      <c r="JJ129" s="10"/>
      <c r="JK129" s="10"/>
      <c r="JL129" s="10"/>
      <c r="JM129" s="10"/>
      <c r="JN129" s="10"/>
      <c r="JO129" s="10"/>
      <c r="JP129" s="10"/>
      <c r="JQ129" s="10"/>
      <c r="JR129" s="10"/>
      <c r="JS129" s="10"/>
      <c r="JT129" s="10"/>
    </row>
    <row r="130" spans="1:280" x14ac:dyDescent="0.2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35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HZ130" s="10"/>
      <c r="IA130" s="10"/>
      <c r="IB130" s="10"/>
      <c r="IC130" s="10"/>
      <c r="ID130" s="10"/>
      <c r="IE130" s="10"/>
      <c r="IF130" s="10"/>
      <c r="IG130" s="10"/>
      <c r="IH130" s="10"/>
      <c r="II130" s="10"/>
      <c r="IJ130" s="10"/>
      <c r="IK130" s="10"/>
      <c r="IL130" s="10"/>
      <c r="IM130" s="10"/>
      <c r="IN130" s="10"/>
      <c r="IO130" s="10"/>
      <c r="IP130" s="10"/>
      <c r="IQ130" s="10"/>
      <c r="IR130" s="10"/>
      <c r="IS130" s="10"/>
      <c r="IT130" s="10"/>
      <c r="IU130" s="10"/>
      <c r="IV130" s="10"/>
      <c r="IW130" s="10"/>
      <c r="IX130" s="10"/>
      <c r="IY130" s="10"/>
      <c r="IZ130" s="10"/>
      <c r="JA130" s="10"/>
      <c r="JB130" s="10"/>
      <c r="JC130" s="10"/>
      <c r="JD130" s="10"/>
      <c r="JE130" s="10"/>
      <c r="JF130" s="10"/>
      <c r="JG130" s="10"/>
      <c r="JH130" s="10"/>
      <c r="JI130" s="10"/>
      <c r="JJ130" s="10"/>
      <c r="JK130" s="10"/>
      <c r="JL130" s="10"/>
      <c r="JM130" s="10"/>
      <c r="JN130" s="10"/>
      <c r="JO130" s="10"/>
      <c r="JP130" s="10"/>
      <c r="JQ130" s="10"/>
      <c r="JR130" s="10"/>
      <c r="JS130" s="10"/>
      <c r="JT130" s="10"/>
    </row>
    <row r="131" spans="1:280" x14ac:dyDescent="0.2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35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HZ131" s="10"/>
      <c r="IA131" s="10"/>
      <c r="IB131" s="10"/>
      <c r="IC131" s="10"/>
      <c r="ID131" s="10"/>
      <c r="IE131" s="10"/>
      <c r="IF131" s="10"/>
      <c r="IG131" s="10"/>
      <c r="IH131" s="10"/>
      <c r="II131" s="10"/>
      <c r="IJ131" s="10"/>
      <c r="IK131" s="10"/>
      <c r="IL131" s="10"/>
      <c r="IM131" s="10"/>
      <c r="IN131" s="10"/>
      <c r="IO131" s="10"/>
      <c r="IP131" s="10"/>
      <c r="IQ131" s="10"/>
      <c r="IR131" s="10"/>
      <c r="IS131" s="10"/>
      <c r="IT131" s="10"/>
      <c r="IU131" s="10"/>
      <c r="IV131" s="10"/>
      <c r="IW131" s="10"/>
      <c r="IX131" s="10"/>
      <c r="IY131" s="10"/>
      <c r="IZ131" s="10"/>
      <c r="JA131" s="10"/>
      <c r="JB131" s="10"/>
      <c r="JC131" s="10"/>
      <c r="JD131" s="10"/>
      <c r="JE131" s="10"/>
      <c r="JF131" s="10"/>
      <c r="JG131" s="10"/>
      <c r="JH131" s="10"/>
      <c r="JI131" s="10"/>
      <c r="JJ131" s="10"/>
      <c r="JK131" s="10"/>
      <c r="JL131" s="10"/>
      <c r="JM131" s="10"/>
      <c r="JN131" s="10"/>
      <c r="JO131" s="10"/>
      <c r="JP131" s="10"/>
      <c r="JQ131" s="10"/>
      <c r="JR131" s="10"/>
      <c r="JS131" s="10"/>
      <c r="JT131" s="10"/>
    </row>
    <row r="132" spans="1:280" x14ac:dyDescent="0.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35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HZ132" s="10"/>
      <c r="IA132" s="10"/>
      <c r="IB132" s="10"/>
      <c r="IC132" s="10"/>
      <c r="ID132" s="10"/>
      <c r="IE132" s="10"/>
      <c r="IF132" s="10"/>
      <c r="IG132" s="10"/>
      <c r="IH132" s="10"/>
      <c r="II132" s="10"/>
      <c r="IJ132" s="10"/>
      <c r="IK132" s="10"/>
      <c r="IL132" s="10"/>
      <c r="IM132" s="10"/>
      <c r="IN132" s="10"/>
      <c r="IO132" s="10"/>
      <c r="IP132" s="10"/>
      <c r="IQ132" s="10"/>
      <c r="IR132" s="10"/>
      <c r="IS132" s="10"/>
      <c r="IT132" s="10"/>
      <c r="IU132" s="10"/>
      <c r="IV132" s="10"/>
      <c r="IW132" s="10"/>
      <c r="IX132" s="10"/>
      <c r="IY132" s="10"/>
      <c r="IZ132" s="10"/>
      <c r="JA132" s="10"/>
      <c r="JB132" s="10"/>
      <c r="JC132" s="10"/>
      <c r="JD132" s="10"/>
      <c r="JE132" s="10"/>
      <c r="JF132" s="10"/>
      <c r="JG132" s="10"/>
      <c r="JH132" s="10"/>
      <c r="JI132" s="10"/>
      <c r="JJ132" s="10"/>
      <c r="JK132" s="10"/>
      <c r="JL132" s="10"/>
      <c r="JM132" s="10"/>
      <c r="JN132" s="10"/>
      <c r="JO132" s="10"/>
      <c r="JP132" s="10"/>
      <c r="JQ132" s="10"/>
      <c r="JR132" s="10"/>
      <c r="JS132" s="10"/>
      <c r="JT132" s="10"/>
    </row>
    <row r="133" spans="1:280" x14ac:dyDescent="0.2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35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HZ133" s="10"/>
      <c r="IA133" s="10"/>
      <c r="IB133" s="10"/>
      <c r="IC133" s="10"/>
      <c r="ID133" s="10"/>
      <c r="IE133" s="10"/>
      <c r="IF133" s="10"/>
      <c r="IG133" s="10"/>
      <c r="IH133" s="10"/>
      <c r="II133" s="10"/>
      <c r="IJ133" s="10"/>
      <c r="IK133" s="10"/>
      <c r="IL133" s="10"/>
      <c r="IM133" s="10"/>
      <c r="IN133" s="10"/>
      <c r="IO133" s="10"/>
      <c r="IP133" s="10"/>
      <c r="IQ133" s="10"/>
      <c r="IR133" s="10"/>
      <c r="IS133" s="10"/>
      <c r="IT133" s="10"/>
      <c r="IU133" s="10"/>
      <c r="IV133" s="10"/>
      <c r="IW133" s="10"/>
      <c r="IX133" s="10"/>
      <c r="IY133" s="10"/>
      <c r="IZ133" s="10"/>
      <c r="JA133" s="10"/>
      <c r="JB133" s="10"/>
      <c r="JC133" s="10"/>
      <c r="JD133" s="10"/>
      <c r="JE133" s="10"/>
      <c r="JF133" s="10"/>
      <c r="JG133" s="10"/>
      <c r="JH133" s="10"/>
      <c r="JI133" s="10"/>
      <c r="JJ133" s="10"/>
      <c r="JK133" s="10"/>
      <c r="JL133" s="10"/>
      <c r="JM133" s="10"/>
      <c r="JN133" s="10"/>
      <c r="JO133" s="10"/>
      <c r="JP133" s="10"/>
      <c r="JQ133" s="10"/>
      <c r="JR133" s="10"/>
      <c r="JS133" s="10"/>
      <c r="JT133" s="10"/>
    </row>
    <row r="134" spans="1:280" x14ac:dyDescent="0.2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35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HZ134" s="10"/>
      <c r="IA134" s="10"/>
      <c r="IB134" s="10"/>
      <c r="IC134" s="10"/>
      <c r="ID134" s="10"/>
      <c r="IE134" s="10"/>
      <c r="IF134" s="10"/>
      <c r="IG134" s="10"/>
      <c r="IH134" s="10"/>
      <c r="II134" s="10"/>
      <c r="IJ134" s="10"/>
      <c r="IK134" s="10"/>
      <c r="IL134" s="10"/>
      <c r="IM134" s="10"/>
      <c r="IN134" s="10"/>
      <c r="IO134" s="10"/>
      <c r="IP134" s="10"/>
      <c r="IQ134" s="10"/>
      <c r="IR134" s="10"/>
      <c r="IS134" s="10"/>
      <c r="IT134" s="10"/>
      <c r="IU134" s="10"/>
      <c r="IV134" s="10"/>
      <c r="IW134" s="10"/>
      <c r="IX134" s="10"/>
      <c r="IY134" s="10"/>
      <c r="IZ134" s="10"/>
      <c r="JA134" s="10"/>
      <c r="JB134" s="10"/>
      <c r="JC134" s="10"/>
      <c r="JD134" s="10"/>
      <c r="JE134" s="10"/>
      <c r="JF134" s="10"/>
      <c r="JG134" s="10"/>
      <c r="JH134" s="10"/>
      <c r="JI134" s="10"/>
      <c r="JJ134" s="10"/>
      <c r="JK134" s="10"/>
      <c r="JL134" s="10"/>
      <c r="JM134" s="10"/>
      <c r="JN134" s="10"/>
      <c r="JO134" s="10"/>
      <c r="JP134" s="10"/>
      <c r="JQ134" s="10"/>
      <c r="JR134" s="10"/>
      <c r="JS134" s="10"/>
      <c r="JT134" s="10"/>
    </row>
    <row r="135" spans="1:280" x14ac:dyDescent="0.2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35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HZ135" s="10"/>
      <c r="IA135" s="10"/>
      <c r="IB135" s="10"/>
      <c r="IC135" s="10"/>
      <c r="ID135" s="10"/>
      <c r="IE135" s="10"/>
      <c r="IF135" s="10"/>
      <c r="IG135" s="10"/>
      <c r="IH135" s="10"/>
      <c r="II135" s="10"/>
      <c r="IJ135" s="10"/>
      <c r="IK135" s="10"/>
      <c r="IL135" s="10"/>
      <c r="IM135" s="10"/>
      <c r="IN135" s="10"/>
      <c r="IO135" s="10"/>
      <c r="IP135" s="10"/>
      <c r="IQ135" s="10"/>
      <c r="IR135" s="10"/>
      <c r="IS135" s="10"/>
      <c r="IT135" s="10"/>
      <c r="IU135" s="10"/>
      <c r="IV135" s="10"/>
      <c r="IW135" s="10"/>
      <c r="IX135" s="10"/>
      <c r="IY135" s="10"/>
      <c r="IZ135" s="10"/>
      <c r="JA135" s="10"/>
      <c r="JB135" s="10"/>
      <c r="JC135" s="10"/>
      <c r="JD135" s="10"/>
      <c r="JE135" s="10"/>
      <c r="JF135" s="10"/>
      <c r="JG135" s="10"/>
      <c r="JH135" s="10"/>
      <c r="JI135" s="10"/>
      <c r="JJ135" s="10"/>
      <c r="JK135" s="10"/>
      <c r="JL135" s="10"/>
      <c r="JM135" s="10"/>
      <c r="JN135" s="10"/>
      <c r="JO135" s="10"/>
      <c r="JP135" s="10"/>
      <c r="JQ135" s="10"/>
      <c r="JR135" s="10"/>
      <c r="JS135" s="10"/>
      <c r="JT135" s="10"/>
    </row>
    <row r="136" spans="1:280" x14ac:dyDescent="0.2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35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HZ136" s="10"/>
      <c r="IA136" s="10"/>
      <c r="IB136" s="10"/>
      <c r="IC136" s="10"/>
      <c r="ID136" s="10"/>
      <c r="IE136" s="10"/>
      <c r="IF136" s="10"/>
      <c r="IG136" s="10"/>
      <c r="IH136" s="10"/>
      <c r="II136" s="10"/>
      <c r="IJ136" s="10"/>
      <c r="IK136" s="10"/>
      <c r="IL136" s="10"/>
      <c r="IM136" s="10"/>
      <c r="IN136" s="10"/>
      <c r="IO136" s="10"/>
      <c r="IP136" s="10"/>
      <c r="IQ136" s="10"/>
      <c r="IR136" s="10"/>
      <c r="IS136" s="10"/>
      <c r="IT136" s="10"/>
      <c r="IU136" s="10"/>
      <c r="IV136" s="10"/>
      <c r="IW136" s="10"/>
      <c r="IX136" s="10"/>
      <c r="IY136" s="10"/>
      <c r="IZ136" s="10"/>
      <c r="JA136" s="10"/>
      <c r="JB136" s="10"/>
      <c r="JC136" s="10"/>
      <c r="JD136" s="10"/>
      <c r="JE136" s="10"/>
      <c r="JF136" s="10"/>
      <c r="JG136" s="10"/>
      <c r="JH136" s="10"/>
      <c r="JI136" s="10"/>
      <c r="JJ136" s="10"/>
      <c r="JK136" s="10"/>
      <c r="JL136" s="10"/>
      <c r="JM136" s="10"/>
      <c r="JN136" s="10"/>
      <c r="JO136" s="10"/>
      <c r="JP136" s="10"/>
      <c r="JQ136" s="10"/>
      <c r="JR136" s="10"/>
      <c r="JS136" s="10"/>
      <c r="JT136" s="10"/>
    </row>
    <row r="137" spans="1:280" x14ac:dyDescent="0.2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35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HZ137" s="10"/>
      <c r="IA137" s="10"/>
      <c r="IB137" s="10"/>
      <c r="IC137" s="10"/>
      <c r="ID137" s="10"/>
      <c r="IE137" s="10"/>
      <c r="IF137" s="10"/>
      <c r="IG137" s="10"/>
      <c r="IH137" s="10"/>
      <c r="II137" s="10"/>
      <c r="IJ137" s="10"/>
      <c r="IK137" s="10"/>
      <c r="IL137" s="10"/>
      <c r="IM137" s="10"/>
      <c r="IN137" s="10"/>
      <c r="IO137" s="10"/>
      <c r="IP137" s="10"/>
      <c r="IQ137" s="10"/>
      <c r="IR137" s="10"/>
      <c r="IS137" s="10"/>
      <c r="IT137" s="10"/>
      <c r="IU137" s="10"/>
      <c r="IV137" s="10"/>
      <c r="IW137" s="10"/>
      <c r="IX137" s="10"/>
      <c r="IY137" s="10"/>
      <c r="IZ137" s="10"/>
      <c r="JA137" s="10"/>
      <c r="JB137" s="10"/>
      <c r="JC137" s="10"/>
      <c r="JD137" s="10"/>
      <c r="JE137" s="10"/>
      <c r="JF137" s="10"/>
      <c r="JG137" s="10"/>
      <c r="JH137" s="10"/>
      <c r="JI137" s="10"/>
      <c r="JJ137" s="10"/>
      <c r="JK137" s="10"/>
      <c r="JL137" s="10"/>
      <c r="JM137" s="10"/>
      <c r="JN137" s="10"/>
      <c r="JO137" s="10"/>
      <c r="JP137" s="10"/>
      <c r="JQ137" s="10"/>
      <c r="JR137" s="10"/>
      <c r="JS137" s="10"/>
      <c r="JT137" s="10"/>
    </row>
    <row r="138" spans="1:280" x14ac:dyDescent="0.2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35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HZ138" s="10"/>
      <c r="IA138" s="10"/>
      <c r="IB138" s="10"/>
      <c r="IC138" s="10"/>
      <c r="ID138" s="10"/>
      <c r="IE138" s="10"/>
      <c r="IF138" s="10"/>
      <c r="IG138" s="10"/>
      <c r="IH138" s="10"/>
      <c r="II138" s="10"/>
      <c r="IJ138" s="10"/>
      <c r="IK138" s="10"/>
      <c r="IL138" s="10"/>
      <c r="IM138" s="10"/>
      <c r="IN138" s="10"/>
      <c r="IO138" s="10"/>
      <c r="IP138" s="10"/>
      <c r="IQ138" s="10"/>
      <c r="IR138" s="10"/>
      <c r="IS138" s="10"/>
      <c r="IT138" s="10"/>
      <c r="IU138" s="10"/>
      <c r="IV138" s="10"/>
      <c r="IW138" s="10"/>
      <c r="IX138" s="10"/>
      <c r="IY138" s="10"/>
      <c r="IZ138" s="10"/>
      <c r="JA138" s="10"/>
      <c r="JB138" s="10"/>
      <c r="JC138" s="10"/>
      <c r="JD138" s="10"/>
      <c r="JE138" s="10"/>
      <c r="JF138" s="10"/>
      <c r="JG138" s="10"/>
      <c r="JH138" s="10"/>
      <c r="JI138" s="10"/>
      <c r="JJ138" s="10"/>
      <c r="JK138" s="10"/>
      <c r="JL138" s="10"/>
      <c r="JM138" s="10"/>
      <c r="JN138" s="10"/>
      <c r="JO138" s="10"/>
      <c r="JP138" s="10"/>
      <c r="JQ138" s="10"/>
      <c r="JR138" s="10"/>
      <c r="JS138" s="10"/>
      <c r="JT138" s="10"/>
    </row>
    <row r="139" spans="1:280" x14ac:dyDescent="0.2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35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HZ139" s="10"/>
      <c r="IA139" s="10"/>
      <c r="IB139" s="10"/>
      <c r="IC139" s="10"/>
      <c r="ID139" s="10"/>
      <c r="IE139" s="10"/>
      <c r="IF139" s="10"/>
      <c r="IG139" s="10"/>
      <c r="IH139" s="10"/>
      <c r="II139" s="10"/>
      <c r="IJ139" s="10"/>
      <c r="IK139" s="10"/>
      <c r="IL139" s="10"/>
      <c r="IM139" s="10"/>
      <c r="IN139" s="10"/>
      <c r="IO139" s="10"/>
      <c r="IP139" s="10"/>
      <c r="IQ139" s="10"/>
      <c r="IR139" s="10"/>
      <c r="IS139" s="10"/>
      <c r="IT139" s="10"/>
      <c r="IU139" s="10"/>
      <c r="IV139" s="10"/>
      <c r="IW139" s="10"/>
      <c r="IX139" s="10"/>
      <c r="IY139" s="10"/>
      <c r="IZ139" s="10"/>
      <c r="JA139" s="10"/>
      <c r="JB139" s="10"/>
      <c r="JC139" s="10"/>
      <c r="JD139" s="10"/>
      <c r="JE139" s="10"/>
      <c r="JF139" s="10"/>
      <c r="JG139" s="10"/>
      <c r="JH139" s="10"/>
      <c r="JI139" s="10"/>
      <c r="JJ139" s="10"/>
      <c r="JK139" s="10"/>
      <c r="JL139" s="10"/>
      <c r="JM139" s="10"/>
      <c r="JN139" s="10"/>
      <c r="JO139" s="10"/>
      <c r="JP139" s="10"/>
      <c r="JQ139" s="10"/>
      <c r="JR139" s="10"/>
      <c r="JS139" s="10"/>
      <c r="JT139" s="10"/>
    </row>
    <row r="140" spans="1:280" x14ac:dyDescent="0.2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35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HZ140" s="10"/>
      <c r="IA140" s="10"/>
      <c r="IB140" s="10"/>
      <c r="IC140" s="10"/>
      <c r="ID140" s="10"/>
      <c r="IE140" s="10"/>
      <c r="IF140" s="10"/>
      <c r="IG140" s="10"/>
      <c r="IH140" s="10"/>
      <c r="II140" s="10"/>
      <c r="IJ140" s="10"/>
      <c r="IK140" s="10"/>
      <c r="IL140" s="10"/>
      <c r="IM140" s="10"/>
      <c r="IN140" s="10"/>
      <c r="IO140" s="10"/>
      <c r="IP140" s="10"/>
      <c r="IQ140" s="10"/>
      <c r="IR140" s="10"/>
      <c r="IS140" s="10"/>
      <c r="IT140" s="10"/>
      <c r="IU140" s="10"/>
      <c r="IV140" s="10"/>
      <c r="IW140" s="10"/>
      <c r="IX140" s="10"/>
      <c r="IY140" s="10"/>
      <c r="IZ140" s="10"/>
      <c r="JA140" s="10"/>
      <c r="JB140" s="10"/>
      <c r="JC140" s="10"/>
      <c r="JD140" s="10"/>
      <c r="JE140" s="10"/>
      <c r="JF140" s="10"/>
      <c r="JG140" s="10"/>
      <c r="JH140" s="10"/>
      <c r="JI140" s="10"/>
      <c r="JJ140" s="10"/>
      <c r="JK140" s="10"/>
      <c r="JL140" s="10"/>
      <c r="JM140" s="10"/>
      <c r="JN140" s="10"/>
      <c r="JO140" s="10"/>
      <c r="JP140" s="10"/>
      <c r="JQ140" s="10"/>
      <c r="JR140" s="10"/>
      <c r="JS140" s="10"/>
      <c r="JT140" s="10"/>
    </row>
    <row r="141" spans="1:280" x14ac:dyDescent="0.2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35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HZ141" s="10"/>
      <c r="IA141" s="10"/>
      <c r="IB141" s="10"/>
      <c r="IC141" s="10"/>
      <c r="ID141" s="10"/>
      <c r="IE141" s="10"/>
      <c r="IF141" s="10"/>
      <c r="IG141" s="10"/>
      <c r="IH141" s="10"/>
      <c r="II141" s="10"/>
      <c r="IJ141" s="10"/>
      <c r="IK141" s="10"/>
      <c r="IL141" s="10"/>
      <c r="IM141" s="10"/>
      <c r="IN141" s="10"/>
      <c r="IO141" s="10"/>
      <c r="IP141" s="10"/>
      <c r="IQ141" s="10"/>
      <c r="IR141" s="10"/>
      <c r="IS141" s="10"/>
      <c r="IT141" s="10"/>
      <c r="IU141" s="10"/>
      <c r="IV141" s="10"/>
      <c r="IW141" s="10"/>
      <c r="IX141" s="10"/>
      <c r="IY141" s="10"/>
      <c r="IZ141" s="10"/>
      <c r="JA141" s="10"/>
      <c r="JB141" s="10"/>
      <c r="JC141" s="10"/>
      <c r="JD141" s="10"/>
      <c r="JE141" s="10"/>
      <c r="JF141" s="10"/>
      <c r="JG141" s="10"/>
      <c r="JH141" s="10"/>
      <c r="JI141" s="10"/>
      <c r="JJ141" s="10"/>
      <c r="JK141" s="10"/>
      <c r="JL141" s="10"/>
      <c r="JM141" s="10"/>
      <c r="JN141" s="10"/>
      <c r="JO141" s="10"/>
      <c r="JP141" s="10"/>
      <c r="JQ141" s="10"/>
      <c r="JR141" s="10"/>
      <c r="JS141" s="10"/>
      <c r="JT141" s="10"/>
    </row>
    <row r="142" spans="1:280" x14ac:dyDescent="0.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35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HZ142" s="10"/>
      <c r="IA142" s="10"/>
      <c r="IB142" s="10"/>
      <c r="IC142" s="10"/>
      <c r="ID142" s="10"/>
      <c r="IE142" s="10"/>
      <c r="IF142" s="10"/>
      <c r="IG142" s="10"/>
      <c r="IH142" s="10"/>
      <c r="II142" s="10"/>
      <c r="IJ142" s="10"/>
      <c r="IK142" s="10"/>
      <c r="IL142" s="10"/>
      <c r="IM142" s="10"/>
      <c r="IN142" s="10"/>
      <c r="IO142" s="10"/>
      <c r="IP142" s="10"/>
      <c r="IQ142" s="10"/>
      <c r="IR142" s="10"/>
      <c r="IS142" s="10"/>
      <c r="IT142" s="10"/>
      <c r="IU142" s="10"/>
      <c r="IV142" s="10"/>
      <c r="IW142" s="10"/>
      <c r="IX142" s="10"/>
      <c r="IY142" s="10"/>
      <c r="IZ142" s="10"/>
      <c r="JA142" s="10"/>
      <c r="JB142" s="10"/>
      <c r="JC142" s="10"/>
      <c r="JD142" s="10"/>
      <c r="JE142" s="10"/>
      <c r="JF142" s="10"/>
      <c r="JG142" s="10"/>
      <c r="JH142" s="10"/>
      <c r="JI142" s="10"/>
      <c r="JJ142" s="10"/>
      <c r="JK142" s="10"/>
      <c r="JL142" s="10"/>
      <c r="JM142" s="10"/>
      <c r="JN142" s="10"/>
      <c r="JO142" s="10"/>
      <c r="JP142" s="10"/>
      <c r="JQ142" s="10"/>
      <c r="JR142" s="10"/>
      <c r="JS142" s="10"/>
      <c r="JT142" s="10"/>
    </row>
    <row r="143" spans="1:280" x14ac:dyDescent="0.2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35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HZ143" s="10"/>
      <c r="IA143" s="10"/>
      <c r="IB143" s="10"/>
      <c r="IC143" s="10"/>
      <c r="ID143" s="10"/>
      <c r="IE143" s="10"/>
      <c r="IF143" s="10"/>
      <c r="IG143" s="10"/>
      <c r="IH143" s="10"/>
      <c r="II143" s="10"/>
      <c r="IJ143" s="10"/>
      <c r="IK143" s="10"/>
      <c r="IL143" s="10"/>
      <c r="IM143" s="10"/>
      <c r="IN143" s="10"/>
      <c r="IO143" s="10"/>
      <c r="IP143" s="10"/>
      <c r="IQ143" s="10"/>
      <c r="IR143" s="10"/>
      <c r="IS143" s="10"/>
      <c r="IT143" s="10"/>
      <c r="IU143" s="10"/>
      <c r="IV143" s="10"/>
      <c r="IW143" s="10"/>
      <c r="IX143" s="10"/>
      <c r="IY143" s="10"/>
      <c r="IZ143" s="10"/>
      <c r="JA143" s="10"/>
      <c r="JB143" s="10"/>
      <c r="JC143" s="10"/>
      <c r="JD143" s="10"/>
      <c r="JE143" s="10"/>
      <c r="JF143" s="10"/>
      <c r="JG143" s="10"/>
      <c r="JH143" s="10"/>
      <c r="JI143" s="10"/>
      <c r="JJ143" s="10"/>
      <c r="JK143" s="10"/>
      <c r="JL143" s="10"/>
      <c r="JM143" s="10"/>
      <c r="JN143" s="10"/>
      <c r="JO143" s="10"/>
      <c r="JP143" s="10"/>
      <c r="JQ143" s="10"/>
      <c r="JR143" s="10"/>
      <c r="JS143" s="10"/>
      <c r="JT143" s="10"/>
    </row>
    <row r="144" spans="1:280" x14ac:dyDescent="0.2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35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HZ144" s="10"/>
      <c r="IA144" s="10"/>
      <c r="IB144" s="10"/>
      <c r="IC144" s="10"/>
      <c r="ID144" s="10"/>
      <c r="IE144" s="10"/>
      <c r="IF144" s="10"/>
      <c r="IG144" s="10"/>
      <c r="IH144" s="10"/>
      <c r="II144" s="10"/>
      <c r="IJ144" s="10"/>
      <c r="IK144" s="10"/>
      <c r="IL144" s="10"/>
      <c r="IM144" s="10"/>
      <c r="IN144" s="10"/>
      <c r="IO144" s="10"/>
      <c r="IP144" s="10"/>
      <c r="IQ144" s="10"/>
      <c r="IR144" s="10"/>
      <c r="IS144" s="10"/>
      <c r="IT144" s="10"/>
      <c r="IU144" s="10"/>
      <c r="IV144" s="10"/>
      <c r="IW144" s="10"/>
      <c r="IX144" s="10"/>
      <c r="IY144" s="10"/>
      <c r="IZ144" s="10"/>
      <c r="JA144" s="10"/>
      <c r="JB144" s="10"/>
      <c r="JC144" s="10"/>
      <c r="JD144" s="10"/>
      <c r="JE144" s="10"/>
      <c r="JF144" s="10"/>
      <c r="JG144" s="10"/>
      <c r="JH144" s="10"/>
      <c r="JI144" s="10"/>
      <c r="JJ144" s="10"/>
      <c r="JK144" s="10"/>
      <c r="JL144" s="10"/>
      <c r="JM144" s="10"/>
      <c r="JN144" s="10"/>
      <c r="JO144" s="10"/>
      <c r="JP144" s="10"/>
      <c r="JQ144" s="10"/>
      <c r="JR144" s="10"/>
      <c r="JS144" s="10"/>
      <c r="JT144" s="10"/>
    </row>
    <row r="145" spans="1:280" x14ac:dyDescent="0.2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35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HZ145" s="10"/>
      <c r="IA145" s="10"/>
      <c r="IB145" s="10"/>
      <c r="IC145" s="10"/>
      <c r="ID145" s="10"/>
      <c r="IE145" s="10"/>
      <c r="IF145" s="10"/>
      <c r="IG145" s="10"/>
      <c r="IH145" s="10"/>
      <c r="II145" s="10"/>
      <c r="IJ145" s="10"/>
      <c r="IK145" s="10"/>
      <c r="IL145" s="10"/>
      <c r="IM145" s="10"/>
      <c r="IN145" s="10"/>
      <c r="IO145" s="10"/>
      <c r="IP145" s="10"/>
      <c r="IQ145" s="10"/>
      <c r="IR145" s="10"/>
      <c r="IS145" s="10"/>
      <c r="IT145" s="10"/>
      <c r="IU145" s="10"/>
      <c r="IV145" s="10"/>
      <c r="IW145" s="10"/>
      <c r="IX145" s="10"/>
      <c r="IY145" s="10"/>
      <c r="IZ145" s="10"/>
      <c r="JA145" s="10"/>
      <c r="JB145" s="10"/>
      <c r="JC145" s="10"/>
      <c r="JD145" s="10"/>
      <c r="JE145" s="10"/>
      <c r="JF145" s="10"/>
      <c r="JG145" s="10"/>
      <c r="JH145" s="10"/>
      <c r="JI145" s="10"/>
      <c r="JJ145" s="10"/>
      <c r="JK145" s="10"/>
      <c r="JL145" s="10"/>
      <c r="JM145" s="10"/>
      <c r="JN145" s="10"/>
      <c r="JO145" s="10"/>
      <c r="JP145" s="10"/>
      <c r="JQ145" s="10"/>
      <c r="JR145" s="10"/>
      <c r="JS145" s="10"/>
      <c r="JT145" s="10"/>
    </row>
    <row r="146" spans="1:280" x14ac:dyDescent="0.2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35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HZ146" s="10"/>
      <c r="IA146" s="10"/>
      <c r="IB146" s="10"/>
      <c r="IC146" s="10"/>
      <c r="ID146" s="10"/>
      <c r="IE146" s="10"/>
      <c r="IF146" s="10"/>
      <c r="IG146" s="10"/>
      <c r="IH146" s="10"/>
      <c r="II146" s="10"/>
      <c r="IJ146" s="10"/>
      <c r="IK146" s="10"/>
      <c r="IL146" s="10"/>
      <c r="IM146" s="10"/>
      <c r="IN146" s="10"/>
      <c r="IO146" s="10"/>
      <c r="IP146" s="10"/>
      <c r="IQ146" s="10"/>
      <c r="IR146" s="10"/>
      <c r="IS146" s="10"/>
      <c r="IT146" s="10"/>
      <c r="IU146" s="10"/>
      <c r="IV146" s="10"/>
      <c r="IW146" s="10"/>
      <c r="IX146" s="10"/>
      <c r="IY146" s="10"/>
      <c r="IZ146" s="10"/>
      <c r="JA146" s="10"/>
      <c r="JB146" s="10"/>
      <c r="JC146" s="10"/>
      <c r="JD146" s="10"/>
      <c r="JE146" s="10"/>
      <c r="JF146" s="10"/>
      <c r="JG146" s="10"/>
      <c r="JH146" s="10"/>
      <c r="JI146" s="10"/>
      <c r="JJ146" s="10"/>
      <c r="JK146" s="10"/>
      <c r="JL146" s="10"/>
      <c r="JM146" s="10"/>
      <c r="JN146" s="10"/>
      <c r="JO146" s="10"/>
      <c r="JP146" s="10"/>
      <c r="JQ146" s="10"/>
      <c r="JR146" s="10"/>
      <c r="JS146" s="10"/>
      <c r="JT146" s="10"/>
    </row>
    <row r="147" spans="1:280" x14ac:dyDescent="0.2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35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HZ147" s="10"/>
      <c r="IA147" s="10"/>
      <c r="IB147" s="10"/>
      <c r="IC147" s="10"/>
      <c r="ID147" s="10"/>
      <c r="IE147" s="10"/>
      <c r="IF147" s="10"/>
      <c r="IG147" s="10"/>
      <c r="IH147" s="10"/>
      <c r="II147" s="10"/>
      <c r="IJ147" s="10"/>
      <c r="IK147" s="10"/>
      <c r="IL147" s="10"/>
      <c r="IM147" s="10"/>
      <c r="IN147" s="10"/>
      <c r="IO147" s="10"/>
      <c r="IP147" s="10"/>
      <c r="IQ147" s="10"/>
      <c r="IR147" s="10"/>
      <c r="IS147" s="10"/>
      <c r="IT147" s="10"/>
      <c r="IU147" s="10"/>
      <c r="IV147" s="10"/>
      <c r="IW147" s="10"/>
      <c r="IX147" s="10"/>
      <c r="IY147" s="10"/>
      <c r="IZ147" s="10"/>
      <c r="JA147" s="10"/>
      <c r="JB147" s="10"/>
      <c r="JC147" s="10"/>
      <c r="JD147" s="10"/>
      <c r="JE147" s="10"/>
      <c r="JF147" s="10"/>
      <c r="JG147" s="10"/>
      <c r="JH147" s="10"/>
      <c r="JI147" s="10"/>
      <c r="JJ147" s="10"/>
      <c r="JK147" s="10"/>
      <c r="JL147" s="10"/>
      <c r="JM147" s="10"/>
      <c r="JN147" s="10"/>
      <c r="JO147" s="10"/>
      <c r="JP147" s="10"/>
      <c r="JQ147" s="10"/>
      <c r="JR147" s="10"/>
      <c r="JS147" s="10"/>
      <c r="JT147" s="10"/>
    </row>
    <row r="148" spans="1:280" x14ac:dyDescent="0.2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35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HZ148" s="10"/>
      <c r="IA148" s="10"/>
      <c r="IB148" s="10"/>
      <c r="IC148" s="10"/>
      <c r="ID148" s="10"/>
      <c r="IE148" s="10"/>
      <c r="IF148" s="10"/>
      <c r="IG148" s="10"/>
      <c r="IH148" s="10"/>
      <c r="II148" s="10"/>
      <c r="IJ148" s="10"/>
      <c r="IK148" s="10"/>
      <c r="IL148" s="10"/>
      <c r="IM148" s="10"/>
      <c r="IN148" s="10"/>
      <c r="IO148" s="10"/>
      <c r="IP148" s="10"/>
      <c r="IQ148" s="10"/>
      <c r="IR148" s="10"/>
      <c r="IS148" s="10"/>
      <c r="IT148" s="10"/>
      <c r="IU148" s="10"/>
      <c r="IV148" s="10"/>
      <c r="IW148" s="10"/>
      <c r="IX148" s="10"/>
      <c r="IY148" s="10"/>
      <c r="IZ148" s="10"/>
      <c r="JA148" s="10"/>
      <c r="JB148" s="10"/>
      <c r="JC148" s="10"/>
      <c r="JD148" s="10"/>
      <c r="JE148" s="10"/>
      <c r="JF148" s="10"/>
      <c r="JG148" s="10"/>
      <c r="JH148" s="10"/>
      <c r="JI148" s="10"/>
      <c r="JJ148" s="10"/>
      <c r="JK148" s="10"/>
      <c r="JL148" s="10"/>
      <c r="JM148" s="10"/>
      <c r="JN148" s="10"/>
      <c r="JO148" s="10"/>
      <c r="JP148" s="10"/>
      <c r="JQ148" s="10"/>
      <c r="JR148" s="10"/>
      <c r="JS148" s="10"/>
      <c r="JT148" s="10"/>
    </row>
    <row r="149" spans="1:280" x14ac:dyDescent="0.2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35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HZ149" s="10"/>
      <c r="IA149" s="10"/>
      <c r="IB149" s="10"/>
      <c r="IC149" s="10"/>
      <c r="ID149" s="10"/>
      <c r="IE149" s="10"/>
      <c r="IF149" s="10"/>
      <c r="IG149" s="10"/>
      <c r="IH149" s="10"/>
      <c r="II149" s="10"/>
      <c r="IJ149" s="10"/>
      <c r="IK149" s="10"/>
      <c r="IL149" s="10"/>
      <c r="IM149" s="10"/>
      <c r="IN149" s="10"/>
      <c r="IO149" s="10"/>
      <c r="IP149" s="10"/>
      <c r="IQ149" s="10"/>
      <c r="IR149" s="10"/>
      <c r="IS149" s="10"/>
      <c r="IT149" s="10"/>
      <c r="IU149" s="10"/>
      <c r="IV149" s="10"/>
      <c r="IW149" s="10"/>
      <c r="IX149" s="10"/>
      <c r="IY149" s="10"/>
      <c r="IZ149" s="10"/>
      <c r="JA149" s="10"/>
      <c r="JB149" s="10"/>
      <c r="JC149" s="10"/>
      <c r="JD149" s="10"/>
      <c r="JE149" s="10"/>
      <c r="JF149" s="10"/>
      <c r="JG149" s="10"/>
      <c r="JH149" s="10"/>
      <c r="JI149" s="10"/>
      <c r="JJ149" s="10"/>
      <c r="JK149" s="10"/>
      <c r="JL149" s="10"/>
      <c r="JM149" s="10"/>
      <c r="JN149" s="10"/>
      <c r="JO149" s="10"/>
      <c r="JP149" s="10"/>
      <c r="JQ149" s="10"/>
      <c r="JR149" s="10"/>
      <c r="JS149" s="10"/>
      <c r="JT149" s="10"/>
    </row>
    <row r="150" spans="1:280" x14ac:dyDescent="0.2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35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HZ150" s="10"/>
      <c r="IA150" s="10"/>
      <c r="IB150" s="10"/>
      <c r="IC150" s="10"/>
      <c r="ID150" s="10"/>
      <c r="IE150" s="10"/>
      <c r="IF150" s="10"/>
      <c r="IG150" s="10"/>
      <c r="IH150" s="10"/>
      <c r="II150" s="10"/>
      <c r="IJ150" s="10"/>
      <c r="IK150" s="10"/>
      <c r="IL150" s="10"/>
      <c r="IM150" s="10"/>
      <c r="IN150" s="10"/>
      <c r="IO150" s="10"/>
      <c r="IP150" s="10"/>
      <c r="IQ150" s="10"/>
      <c r="IR150" s="10"/>
      <c r="IS150" s="10"/>
      <c r="IT150" s="10"/>
      <c r="IU150" s="10"/>
      <c r="IV150" s="10"/>
      <c r="IW150" s="10"/>
      <c r="IX150" s="10"/>
      <c r="IY150" s="10"/>
      <c r="IZ150" s="10"/>
      <c r="JA150" s="10"/>
      <c r="JB150" s="10"/>
      <c r="JC150" s="10"/>
      <c r="JD150" s="10"/>
      <c r="JE150" s="10"/>
      <c r="JF150" s="10"/>
      <c r="JG150" s="10"/>
      <c r="JH150" s="10"/>
      <c r="JI150" s="10"/>
      <c r="JJ150" s="10"/>
      <c r="JK150" s="10"/>
      <c r="JL150" s="10"/>
      <c r="JM150" s="10"/>
      <c r="JN150" s="10"/>
      <c r="JO150" s="10"/>
      <c r="JP150" s="10"/>
      <c r="JQ150" s="10"/>
      <c r="JR150" s="10"/>
      <c r="JS150" s="10"/>
      <c r="JT150" s="10"/>
    </row>
    <row r="151" spans="1:280" x14ac:dyDescent="0.2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35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HZ151" s="10"/>
      <c r="IA151" s="10"/>
      <c r="IB151" s="10"/>
      <c r="IC151" s="10"/>
      <c r="ID151" s="10"/>
      <c r="IE151" s="10"/>
      <c r="IF151" s="10"/>
      <c r="IG151" s="10"/>
      <c r="IH151" s="10"/>
      <c r="II151" s="10"/>
      <c r="IJ151" s="10"/>
      <c r="IK151" s="10"/>
      <c r="IL151" s="10"/>
      <c r="IM151" s="10"/>
      <c r="IN151" s="10"/>
      <c r="IO151" s="10"/>
      <c r="IP151" s="10"/>
      <c r="IQ151" s="10"/>
      <c r="IR151" s="10"/>
      <c r="IS151" s="10"/>
      <c r="IT151" s="10"/>
      <c r="IU151" s="10"/>
      <c r="IV151" s="10"/>
      <c r="IW151" s="10"/>
      <c r="IX151" s="10"/>
      <c r="IY151" s="10"/>
      <c r="IZ151" s="10"/>
      <c r="JA151" s="10"/>
      <c r="JB151" s="10"/>
      <c r="JC151" s="10"/>
      <c r="JD151" s="10"/>
      <c r="JE151" s="10"/>
      <c r="JF151" s="10"/>
      <c r="JG151" s="10"/>
      <c r="JH151" s="10"/>
      <c r="JI151" s="10"/>
      <c r="JJ151" s="10"/>
      <c r="JK151" s="10"/>
      <c r="JL151" s="10"/>
      <c r="JM151" s="10"/>
      <c r="JN151" s="10"/>
      <c r="JO151" s="10"/>
      <c r="JP151" s="10"/>
      <c r="JQ151" s="10"/>
      <c r="JR151" s="10"/>
      <c r="JS151" s="10"/>
      <c r="JT151" s="10"/>
    </row>
    <row r="152" spans="1:280" x14ac:dyDescent="0.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35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HZ152" s="10"/>
      <c r="IA152" s="10"/>
      <c r="IB152" s="10"/>
      <c r="IC152" s="10"/>
      <c r="ID152" s="10"/>
      <c r="IE152" s="10"/>
      <c r="IF152" s="10"/>
      <c r="IG152" s="10"/>
      <c r="IH152" s="10"/>
      <c r="II152" s="10"/>
      <c r="IJ152" s="10"/>
      <c r="IK152" s="10"/>
      <c r="IL152" s="10"/>
      <c r="IM152" s="10"/>
      <c r="IN152" s="10"/>
      <c r="IO152" s="10"/>
      <c r="IP152" s="10"/>
      <c r="IQ152" s="10"/>
      <c r="IR152" s="10"/>
      <c r="IS152" s="10"/>
      <c r="IT152" s="10"/>
      <c r="IU152" s="10"/>
      <c r="IV152" s="10"/>
      <c r="IW152" s="10"/>
      <c r="IX152" s="10"/>
      <c r="IY152" s="10"/>
      <c r="IZ152" s="10"/>
      <c r="JA152" s="10"/>
      <c r="JB152" s="10"/>
      <c r="JC152" s="10"/>
      <c r="JD152" s="10"/>
      <c r="JE152" s="10"/>
      <c r="JF152" s="10"/>
      <c r="JG152" s="10"/>
      <c r="JH152" s="10"/>
      <c r="JI152" s="10"/>
      <c r="JJ152" s="10"/>
      <c r="JK152" s="10"/>
      <c r="JL152" s="10"/>
      <c r="JM152" s="10"/>
      <c r="JN152" s="10"/>
      <c r="JO152" s="10"/>
      <c r="JP152" s="10"/>
      <c r="JQ152" s="10"/>
      <c r="JR152" s="10"/>
      <c r="JS152" s="10"/>
      <c r="JT152" s="10"/>
    </row>
    <row r="153" spans="1:280" x14ac:dyDescent="0.2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35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HZ153" s="10"/>
      <c r="IA153" s="10"/>
      <c r="IB153" s="10"/>
      <c r="IC153" s="10"/>
      <c r="ID153" s="10"/>
      <c r="IE153" s="10"/>
      <c r="IF153" s="10"/>
      <c r="IG153" s="10"/>
      <c r="IH153" s="10"/>
      <c r="II153" s="10"/>
      <c r="IJ153" s="10"/>
      <c r="IK153" s="10"/>
      <c r="IL153" s="10"/>
      <c r="IM153" s="10"/>
      <c r="IN153" s="10"/>
      <c r="IO153" s="10"/>
      <c r="IP153" s="10"/>
      <c r="IQ153" s="10"/>
      <c r="IR153" s="10"/>
      <c r="IS153" s="10"/>
      <c r="IT153" s="10"/>
      <c r="IU153" s="10"/>
      <c r="IV153" s="10"/>
      <c r="IW153" s="10"/>
      <c r="IX153" s="10"/>
      <c r="IY153" s="10"/>
      <c r="IZ153" s="10"/>
      <c r="JA153" s="10"/>
      <c r="JB153" s="10"/>
      <c r="JC153" s="10"/>
      <c r="JD153" s="10"/>
      <c r="JE153" s="10"/>
      <c r="JF153" s="10"/>
      <c r="JG153" s="10"/>
      <c r="JH153" s="10"/>
      <c r="JI153" s="10"/>
      <c r="JJ153" s="10"/>
      <c r="JK153" s="10"/>
      <c r="JL153" s="10"/>
      <c r="JM153" s="10"/>
      <c r="JN153" s="10"/>
      <c r="JO153" s="10"/>
      <c r="JP153" s="10"/>
      <c r="JQ153" s="10"/>
      <c r="JR153" s="10"/>
      <c r="JS153" s="10"/>
      <c r="JT153" s="10"/>
    </row>
    <row r="154" spans="1:280" x14ac:dyDescent="0.2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35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HZ154" s="10"/>
      <c r="IA154" s="10"/>
      <c r="IB154" s="10"/>
      <c r="IC154" s="10"/>
      <c r="ID154" s="10"/>
      <c r="IE154" s="10"/>
      <c r="IF154" s="10"/>
      <c r="IG154" s="10"/>
      <c r="IH154" s="10"/>
      <c r="II154" s="10"/>
      <c r="IJ154" s="10"/>
      <c r="IK154" s="10"/>
      <c r="IL154" s="10"/>
      <c r="IM154" s="10"/>
      <c r="IN154" s="10"/>
      <c r="IO154" s="10"/>
      <c r="IP154" s="10"/>
      <c r="IQ154" s="10"/>
      <c r="IR154" s="10"/>
      <c r="IS154" s="10"/>
      <c r="IT154" s="10"/>
      <c r="IU154" s="10"/>
      <c r="IV154" s="10"/>
      <c r="IW154" s="10"/>
      <c r="IX154" s="10"/>
      <c r="IY154" s="10"/>
      <c r="IZ154" s="10"/>
      <c r="JA154" s="10"/>
      <c r="JB154" s="10"/>
      <c r="JC154" s="10"/>
      <c r="JD154" s="10"/>
      <c r="JE154" s="10"/>
      <c r="JF154" s="10"/>
      <c r="JG154" s="10"/>
      <c r="JH154" s="10"/>
      <c r="JI154" s="10"/>
      <c r="JJ154" s="10"/>
      <c r="JK154" s="10"/>
      <c r="JL154" s="10"/>
      <c r="JM154" s="10"/>
      <c r="JN154" s="10"/>
      <c r="JO154" s="10"/>
      <c r="JP154" s="10"/>
      <c r="JQ154" s="10"/>
      <c r="JR154" s="10"/>
      <c r="JS154" s="10"/>
      <c r="JT154" s="10"/>
    </row>
    <row r="155" spans="1:280" x14ac:dyDescent="0.2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35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HZ155" s="10"/>
      <c r="IA155" s="10"/>
      <c r="IB155" s="10"/>
      <c r="IC155" s="10"/>
      <c r="ID155" s="10"/>
      <c r="IE155" s="10"/>
      <c r="IF155" s="10"/>
      <c r="IG155" s="10"/>
      <c r="IH155" s="10"/>
      <c r="II155" s="10"/>
      <c r="IJ155" s="10"/>
      <c r="IK155" s="10"/>
      <c r="IL155" s="10"/>
      <c r="IM155" s="10"/>
      <c r="IN155" s="10"/>
      <c r="IO155" s="10"/>
      <c r="IP155" s="10"/>
      <c r="IQ155" s="10"/>
      <c r="IR155" s="10"/>
      <c r="IS155" s="10"/>
      <c r="IT155" s="10"/>
      <c r="IU155" s="10"/>
      <c r="IV155" s="10"/>
      <c r="IW155" s="10"/>
      <c r="IX155" s="10"/>
      <c r="IY155" s="10"/>
      <c r="IZ155" s="10"/>
      <c r="JA155" s="10"/>
      <c r="JB155" s="10"/>
      <c r="JC155" s="10"/>
      <c r="JD155" s="10"/>
      <c r="JE155" s="10"/>
      <c r="JF155" s="10"/>
      <c r="JG155" s="10"/>
      <c r="JH155" s="10"/>
      <c r="JI155" s="10"/>
      <c r="JJ155" s="10"/>
      <c r="JK155" s="10"/>
      <c r="JL155" s="10"/>
      <c r="JM155" s="10"/>
      <c r="JN155" s="10"/>
      <c r="JO155" s="10"/>
      <c r="JP155" s="10"/>
      <c r="JQ155" s="10"/>
      <c r="JR155" s="10"/>
      <c r="JS155" s="10"/>
      <c r="JT155" s="10"/>
    </row>
    <row r="156" spans="1:280" x14ac:dyDescent="0.2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35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HZ156" s="10"/>
      <c r="IA156" s="10"/>
      <c r="IB156" s="10"/>
      <c r="IC156" s="10"/>
      <c r="ID156" s="10"/>
      <c r="IE156" s="10"/>
      <c r="IF156" s="10"/>
      <c r="IG156" s="10"/>
      <c r="IH156" s="10"/>
      <c r="II156" s="10"/>
      <c r="IJ156" s="10"/>
      <c r="IK156" s="10"/>
      <c r="IL156" s="10"/>
      <c r="IM156" s="10"/>
      <c r="IN156" s="10"/>
      <c r="IO156" s="10"/>
      <c r="IP156" s="10"/>
      <c r="IQ156" s="10"/>
      <c r="IR156" s="10"/>
      <c r="IS156" s="10"/>
      <c r="IT156" s="10"/>
      <c r="IU156" s="10"/>
      <c r="IV156" s="10"/>
      <c r="IW156" s="10"/>
      <c r="IX156" s="10"/>
      <c r="IY156" s="10"/>
      <c r="IZ156" s="10"/>
      <c r="JA156" s="10"/>
      <c r="JB156" s="10"/>
      <c r="JC156" s="10"/>
      <c r="JD156" s="10"/>
      <c r="JE156" s="10"/>
      <c r="JF156" s="10"/>
      <c r="JG156" s="10"/>
      <c r="JH156" s="10"/>
      <c r="JI156" s="10"/>
      <c r="JJ156" s="10"/>
      <c r="JK156" s="10"/>
      <c r="JL156" s="10"/>
      <c r="JM156" s="10"/>
      <c r="JN156" s="10"/>
      <c r="JO156" s="10"/>
      <c r="JP156" s="10"/>
      <c r="JQ156" s="10"/>
      <c r="JR156" s="10"/>
      <c r="JS156" s="10"/>
      <c r="JT156" s="10"/>
    </row>
    <row r="157" spans="1:280" x14ac:dyDescent="0.2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35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HZ157" s="10"/>
      <c r="IA157" s="10"/>
      <c r="IB157" s="10"/>
      <c r="IC157" s="10"/>
      <c r="ID157" s="10"/>
      <c r="IE157" s="10"/>
      <c r="IF157" s="10"/>
      <c r="IG157" s="10"/>
      <c r="IH157" s="10"/>
      <c r="II157" s="10"/>
      <c r="IJ157" s="10"/>
      <c r="IK157" s="10"/>
      <c r="IL157" s="10"/>
      <c r="IM157" s="10"/>
      <c r="IN157" s="10"/>
      <c r="IO157" s="10"/>
      <c r="IP157" s="10"/>
      <c r="IQ157" s="10"/>
      <c r="IR157" s="10"/>
      <c r="IS157" s="10"/>
      <c r="IT157" s="10"/>
      <c r="IU157" s="10"/>
      <c r="IV157" s="10"/>
      <c r="IW157" s="10"/>
      <c r="IX157" s="10"/>
      <c r="IY157" s="10"/>
      <c r="IZ157" s="10"/>
      <c r="JA157" s="10"/>
      <c r="JB157" s="10"/>
      <c r="JC157" s="10"/>
      <c r="JD157" s="10"/>
      <c r="JE157" s="10"/>
      <c r="JF157" s="10"/>
      <c r="JG157" s="10"/>
      <c r="JH157" s="10"/>
      <c r="JI157" s="10"/>
      <c r="JJ157" s="10"/>
      <c r="JK157" s="10"/>
      <c r="JL157" s="10"/>
      <c r="JM157" s="10"/>
      <c r="JN157" s="10"/>
      <c r="JO157" s="10"/>
      <c r="JP157" s="10"/>
      <c r="JQ157" s="10"/>
      <c r="JR157" s="10"/>
      <c r="JS157" s="10"/>
      <c r="JT157" s="10"/>
    </row>
    <row r="158" spans="1:280" x14ac:dyDescent="0.2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35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HZ158" s="10"/>
      <c r="IA158" s="10"/>
      <c r="IB158" s="10"/>
      <c r="IC158" s="10"/>
      <c r="ID158" s="10"/>
      <c r="IE158" s="10"/>
      <c r="IF158" s="10"/>
      <c r="IG158" s="10"/>
      <c r="IH158" s="10"/>
      <c r="II158" s="10"/>
      <c r="IJ158" s="10"/>
      <c r="IK158" s="10"/>
      <c r="IL158" s="10"/>
      <c r="IM158" s="10"/>
      <c r="IN158" s="10"/>
      <c r="IO158" s="10"/>
      <c r="IP158" s="10"/>
      <c r="IQ158" s="10"/>
      <c r="IR158" s="10"/>
      <c r="IS158" s="10"/>
      <c r="IT158" s="10"/>
      <c r="IU158" s="10"/>
      <c r="IV158" s="10"/>
      <c r="IW158" s="10"/>
      <c r="IX158" s="10"/>
      <c r="IY158" s="10"/>
      <c r="IZ158" s="10"/>
      <c r="JA158" s="10"/>
      <c r="JB158" s="10"/>
      <c r="JC158" s="10"/>
      <c r="JD158" s="10"/>
      <c r="JE158" s="10"/>
      <c r="JF158" s="10"/>
      <c r="JG158" s="10"/>
      <c r="JH158" s="10"/>
      <c r="JI158" s="10"/>
      <c r="JJ158" s="10"/>
      <c r="JK158" s="10"/>
      <c r="JL158" s="10"/>
      <c r="JM158" s="10"/>
      <c r="JN158" s="10"/>
      <c r="JO158" s="10"/>
      <c r="JP158" s="10"/>
      <c r="JQ158" s="10"/>
      <c r="JR158" s="10"/>
      <c r="JS158" s="10"/>
      <c r="JT158" s="10"/>
    </row>
    <row r="159" spans="1:280" x14ac:dyDescent="0.2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35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HZ159" s="10"/>
      <c r="IA159" s="10"/>
      <c r="IB159" s="10"/>
      <c r="IC159" s="10"/>
      <c r="ID159" s="10"/>
      <c r="IE159" s="10"/>
      <c r="IF159" s="10"/>
      <c r="IG159" s="10"/>
      <c r="IH159" s="10"/>
      <c r="II159" s="10"/>
      <c r="IJ159" s="10"/>
      <c r="IK159" s="10"/>
      <c r="IL159" s="10"/>
      <c r="IM159" s="10"/>
      <c r="IN159" s="10"/>
      <c r="IO159" s="10"/>
      <c r="IP159" s="10"/>
      <c r="IQ159" s="10"/>
      <c r="IR159" s="10"/>
      <c r="IS159" s="10"/>
      <c r="IT159" s="10"/>
      <c r="IU159" s="10"/>
      <c r="IV159" s="10"/>
      <c r="IW159" s="10"/>
      <c r="IX159" s="10"/>
      <c r="IY159" s="10"/>
      <c r="IZ159" s="10"/>
      <c r="JA159" s="10"/>
      <c r="JB159" s="10"/>
      <c r="JC159" s="10"/>
      <c r="JD159" s="10"/>
      <c r="JE159" s="10"/>
      <c r="JF159" s="10"/>
      <c r="JG159" s="10"/>
      <c r="JH159" s="10"/>
      <c r="JI159" s="10"/>
      <c r="JJ159" s="10"/>
      <c r="JK159" s="10"/>
      <c r="JL159" s="10"/>
      <c r="JM159" s="10"/>
      <c r="JN159" s="10"/>
      <c r="JO159" s="10"/>
      <c r="JP159" s="10"/>
      <c r="JQ159" s="10"/>
      <c r="JR159" s="10"/>
      <c r="JS159" s="10"/>
      <c r="JT159" s="10"/>
    </row>
    <row r="160" spans="1:280" x14ac:dyDescent="0.2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35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HZ160" s="10"/>
      <c r="IA160" s="10"/>
      <c r="IB160" s="10"/>
      <c r="IC160" s="10"/>
      <c r="ID160" s="10"/>
      <c r="IE160" s="10"/>
      <c r="IF160" s="10"/>
      <c r="IG160" s="10"/>
      <c r="IH160" s="10"/>
      <c r="II160" s="10"/>
      <c r="IJ160" s="10"/>
      <c r="IK160" s="10"/>
      <c r="IL160" s="10"/>
      <c r="IM160" s="10"/>
      <c r="IN160" s="10"/>
      <c r="IO160" s="10"/>
      <c r="IP160" s="10"/>
      <c r="IQ160" s="10"/>
      <c r="IR160" s="10"/>
      <c r="IS160" s="10"/>
      <c r="IT160" s="10"/>
      <c r="IU160" s="10"/>
      <c r="IV160" s="10"/>
      <c r="IW160" s="10"/>
      <c r="IX160" s="10"/>
      <c r="IY160" s="10"/>
      <c r="IZ160" s="10"/>
      <c r="JA160" s="10"/>
      <c r="JB160" s="10"/>
      <c r="JC160" s="10"/>
      <c r="JD160" s="10"/>
      <c r="JE160" s="10"/>
      <c r="JF160" s="10"/>
      <c r="JG160" s="10"/>
      <c r="JH160" s="10"/>
      <c r="JI160" s="10"/>
      <c r="JJ160" s="10"/>
      <c r="JK160" s="10"/>
      <c r="JL160" s="10"/>
      <c r="JM160" s="10"/>
      <c r="JN160" s="10"/>
      <c r="JO160" s="10"/>
      <c r="JP160" s="10"/>
      <c r="JQ160" s="10"/>
      <c r="JR160" s="10"/>
      <c r="JS160" s="10"/>
      <c r="JT160" s="10"/>
    </row>
    <row r="161" spans="1:280" x14ac:dyDescent="0.2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35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HZ161" s="10"/>
      <c r="IA161" s="10"/>
      <c r="IB161" s="10"/>
      <c r="IC161" s="10"/>
      <c r="ID161" s="10"/>
      <c r="IE161" s="10"/>
      <c r="IF161" s="10"/>
      <c r="IG161" s="10"/>
      <c r="IH161" s="10"/>
      <c r="II161" s="10"/>
      <c r="IJ161" s="10"/>
      <c r="IK161" s="10"/>
      <c r="IL161" s="10"/>
      <c r="IM161" s="10"/>
      <c r="IN161" s="10"/>
      <c r="IO161" s="10"/>
      <c r="IP161" s="10"/>
      <c r="IQ161" s="10"/>
      <c r="IR161" s="10"/>
      <c r="IS161" s="10"/>
      <c r="IT161" s="10"/>
      <c r="IU161" s="10"/>
      <c r="IV161" s="10"/>
      <c r="IW161" s="10"/>
      <c r="IX161" s="10"/>
      <c r="IY161" s="10"/>
      <c r="IZ161" s="10"/>
      <c r="JA161" s="10"/>
      <c r="JB161" s="10"/>
      <c r="JC161" s="10"/>
      <c r="JD161" s="10"/>
      <c r="JE161" s="10"/>
      <c r="JF161" s="10"/>
      <c r="JG161" s="10"/>
      <c r="JH161" s="10"/>
      <c r="JI161" s="10"/>
      <c r="JJ161" s="10"/>
      <c r="JK161" s="10"/>
      <c r="JL161" s="10"/>
      <c r="JM161" s="10"/>
      <c r="JN161" s="10"/>
      <c r="JO161" s="10"/>
      <c r="JP161" s="10"/>
      <c r="JQ161" s="10"/>
      <c r="JR161" s="10"/>
      <c r="JS161" s="10"/>
      <c r="JT161" s="10"/>
    </row>
    <row r="162" spans="1:280" x14ac:dyDescent="0.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35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HZ162" s="10"/>
      <c r="IA162" s="10"/>
      <c r="IB162" s="10"/>
      <c r="IC162" s="10"/>
      <c r="ID162" s="10"/>
      <c r="IE162" s="10"/>
      <c r="IF162" s="10"/>
      <c r="IG162" s="10"/>
      <c r="IH162" s="10"/>
      <c r="II162" s="10"/>
      <c r="IJ162" s="10"/>
      <c r="IK162" s="10"/>
      <c r="IL162" s="10"/>
      <c r="IM162" s="10"/>
      <c r="IN162" s="10"/>
      <c r="IO162" s="10"/>
      <c r="IP162" s="10"/>
      <c r="IQ162" s="10"/>
      <c r="IR162" s="10"/>
      <c r="IS162" s="10"/>
      <c r="IT162" s="10"/>
      <c r="IU162" s="10"/>
      <c r="IV162" s="10"/>
      <c r="IW162" s="10"/>
      <c r="IX162" s="10"/>
      <c r="IY162" s="10"/>
      <c r="IZ162" s="10"/>
      <c r="JA162" s="10"/>
      <c r="JB162" s="10"/>
      <c r="JC162" s="10"/>
      <c r="JD162" s="10"/>
      <c r="JE162" s="10"/>
      <c r="JF162" s="10"/>
      <c r="JG162" s="10"/>
      <c r="JH162" s="10"/>
      <c r="JI162" s="10"/>
      <c r="JJ162" s="10"/>
      <c r="JK162" s="10"/>
      <c r="JL162" s="10"/>
      <c r="JM162" s="10"/>
      <c r="JN162" s="10"/>
      <c r="JO162" s="10"/>
      <c r="JP162" s="10"/>
      <c r="JQ162" s="10"/>
      <c r="JR162" s="10"/>
      <c r="JS162" s="10"/>
      <c r="JT162" s="10"/>
    </row>
    <row r="163" spans="1:280" x14ac:dyDescent="0.2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35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HZ163" s="10"/>
      <c r="IA163" s="10"/>
      <c r="IB163" s="10"/>
      <c r="IC163" s="10"/>
      <c r="ID163" s="10"/>
      <c r="IE163" s="10"/>
      <c r="IF163" s="10"/>
      <c r="IG163" s="10"/>
      <c r="IH163" s="10"/>
      <c r="II163" s="10"/>
      <c r="IJ163" s="10"/>
      <c r="IK163" s="10"/>
      <c r="IL163" s="10"/>
      <c r="IM163" s="10"/>
      <c r="IN163" s="10"/>
      <c r="IO163" s="10"/>
      <c r="IP163" s="10"/>
      <c r="IQ163" s="10"/>
      <c r="IR163" s="10"/>
      <c r="IS163" s="10"/>
      <c r="IT163" s="10"/>
      <c r="IU163" s="10"/>
      <c r="IV163" s="10"/>
      <c r="IW163" s="10"/>
      <c r="IX163" s="10"/>
      <c r="IY163" s="10"/>
      <c r="IZ163" s="10"/>
      <c r="JA163" s="10"/>
      <c r="JB163" s="10"/>
      <c r="JC163" s="10"/>
      <c r="JD163" s="10"/>
      <c r="JE163" s="10"/>
      <c r="JF163" s="10"/>
      <c r="JG163" s="10"/>
      <c r="JH163" s="10"/>
      <c r="JI163" s="10"/>
      <c r="JJ163" s="10"/>
      <c r="JK163" s="10"/>
      <c r="JL163" s="10"/>
      <c r="JM163" s="10"/>
      <c r="JN163" s="10"/>
      <c r="JO163" s="10"/>
      <c r="JP163" s="10"/>
      <c r="JQ163" s="10"/>
      <c r="JR163" s="10"/>
      <c r="JS163" s="10"/>
      <c r="JT163" s="10"/>
    </row>
    <row r="164" spans="1:280" x14ac:dyDescent="0.2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35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HZ164" s="10"/>
      <c r="IA164" s="10"/>
      <c r="IB164" s="10"/>
      <c r="IC164" s="10"/>
      <c r="ID164" s="10"/>
      <c r="IE164" s="10"/>
      <c r="IF164" s="10"/>
      <c r="IG164" s="10"/>
      <c r="IH164" s="10"/>
      <c r="II164" s="10"/>
      <c r="IJ164" s="10"/>
      <c r="IK164" s="10"/>
      <c r="IL164" s="10"/>
      <c r="IM164" s="10"/>
      <c r="IN164" s="10"/>
      <c r="IO164" s="10"/>
      <c r="IP164" s="10"/>
      <c r="IQ164" s="10"/>
      <c r="IR164" s="10"/>
      <c r="IS164" s="10"/>
      <c r="IT164" s="10"/>
      <c r="IU164" s="10"/>
      <c r="IV164" s="10"/>
      <c r="IW164" s="10"/>
      <c r="IX164" s="10"/>
      <c r="IY164" s="10"/>
      <c r="IZ164" s="10"/>
      <c r="JA164" s="10"/>
      <c r="JB164" s="10"/>
      <c r="JC164" s="10"/>
      <c r="JD164" s="10"/>
      <c r="JE164" s="10"/>
      <c r="JF164" s="10"/>
      <c r="JG164" s="10"/>
      <c r="JH164" s="10"/>
      <c r="JI164" s="10"/>
      <c r="JJ164" s="10"/>
      <c r="JK164" s="10"/>
      <c r="JL164" s="10"/>
      <c r="JM164" s="10"/>
      <c r="JN164" s="10"/>
      <c r="JO164" s="10"/>
      <c r="JP164" s="10"/>
      <c r="JQ164" s="10"/>
      <c r="JR164" s="10"/>
      <c r="JS164" s="10"/>
      <c r="JT164" s="10"/>
    </row>
    <row r="165" spans="1:280" x14ac:dyDescent="0.2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35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HZ165" s="10"/>
      <c r="IA165" s="10"/>
      <c r="IB165" s="10"/>
      <c r="IC165" s="10"/>
      <c r="ID165" s="10"/>
      <c r="IE165" s="10"/>
      <c r="IF165" s="10"/>
      <c r="IG165" s="10"/>
      <c r="IH165" s="10"/>
      <c r="II165" s="10"/>
      <c r="IJ165" s="10"/>
      <c r="IK165" s="10"/>
      <c r="IL165" s="10"/>
      <c r="IM165" s="10"/>
      <c r="IN165" s="10"/>
      <c r="IO165" s="10"/>
      <c r="IP165" s="10"/>
      <c r="IQ165" s="10"/>
      <c r="IR165" s="10"/>
      <c r="IS165" s="10"/>
      <c r="IT165" s="10"/>
      <c r="IU165" s="10"/>
      <c r="IV165" s="10"/>
      <c r="IW165" s="10"/>
      <c r="IX165" s="10"/>
      <c r="IY165" s="10"/>
      <c r="IZ165" s="10"/>
      <c r="JA165" s="10"/>
      <c r="JB165" s="10"/>
      <c r="JC165" s="10"/>
      <c r="JD165" s="10"/>
      <c r="JE165" s="10"/>
      <c r="JF165" s="10"/>
      <c r="JG165" s="10"/>
      <c r="JH165" s="10"/>
      <c r="JI165" s="10"/>
      <c r="JJ165" s="10"/>
      <c r="JK165" s="10"/>
      <c r="JL165" s="10"/>
      <c r="JM165" s="10"/>
      <c r="JN165" s="10"/>
      <c r="JO165" s="10"/>
      <c r="JP165" s="10"/>
      <c r="JQ165" s="10"/>
      <c r="JR165" s="10"/>
      <c r="JS165" s="10"/>
      <c r="JT165" s="10"/>
    </row>
    <row r="166" spans="1:280" x14ac:dyDescent="0.2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35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HZ166" s="10"/>
      <c r="IA166" s="10"/>
      <c r="IB166" s="10"/>
      <c r="IC166" s="10"/>
      <c r="ID166" s="10"/>
      <c r="IE166" s="10"/>
      <c r="IF166" s="10"/>
      <c r="IG166" s="10"/>
      <c r="IH166" s="10"/>
      <c r="II166" s="10"/>
      <c r="IJ166" s="10"/>
      <c r="IK166" s="10"/>
      <c r="IL166" s="10"/>
      <c r="IM166" s="10"/>
      <c r="IN166" s="10"/>
      <c r="IO166" s="10"/>
      <c r="IP166" s="10"/>
      <c r="IQ166" s="10"/>
      <c r="IR166" s="10"/>
      <c r="IS166" s="10"/>
      <c r="IT166" s="10"/>
      <c r="IU166" s="10"/>
      <c r="IV166" s="10"/>
      <c r="IW166" s="10"/>
      <c r="IX166" s="10"/>
      <c r="IY166" s="10"/>
      <c r="IZ166" s="10"/>
      <c r="JA166" s="10"/>
      <c r="JB166" s="10"/>
      <c r="JC166" s="10"/>
      <c r="JD166" s="10"/>
      <c r="JE166" s="10"/>
      <c r="JF166" s="10"/>
      <c r="JG166" s="10"/>
      <c r="JH166" s="10"/>
      <c r="JI166" s="10"/>
      <c r="JJ166" s="10"/>
      <c r="JK166" s="10"/>
      <c r="JL166" s="10"/>
      <c r="JM166" s="10"/>
      <c r="JN166" s="10"/>
      <c r="JO166" s="10"/>
      <c r="JP166" s="10"/>
      <c r="JQ166" s="10"/>
      <c r="JR166" s="10"/>
      <c r="JS166" s="10"/>
      <c r="JT166" s="10"/>
    </row>
    <row r="167" spans="1:280" x14ac:dyDescent="0.2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35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HZ167" s="10"/>
      <c r="IA167" s="10"/>
      <c r="IB167" s="10"/>
      <c r="IC167" s="10"/>
      <c r="ID167" s="10"/>
      <c r="IE167" s="10"/>
      <c r="IF167" s="10"/>
      <c r="IG167" s="10"/>
      <c r="IH167" s="10"/>
      <c r="II167" s="10"/>
      <c r="IJ167" s="10"/>
      <c r="IK167" s="10"/>
      <c r="IL167" s="10"/>
      <c r="IM167" s="10"/>
      <c r="IN167" s="10"/>
      <c r="IO167" s="10"/>
      <c r="IP167" s="10"/>
      <c r="IQ167" s="10"/>
      <c r="IR167" s="10"/>
      <c r="IS167" s="10"/>
      <c r="IT167" s="10"/>
      <c r="IU167" s="10"/>
      <c r="IV167" s="10"/>
      <c r="IW167" s="10"/>
      <c r="IX167" s="10"/>
      <c r="IY167" s="10"/>
      <c r="IZ167" s="10"/>
      <c r="JA167" s="10"/>
      <c r="JB167" s="10"/>
      <c r="JC167" s="10"/>
      <c r="JD167" s="10"/>
      <c r="JE167" s="10"/>
      <c r="JF167" s="10"/>
      <c r="JG167" s="10"/>
      <c r="JH167" s="10"/>
      <c r="JI167" s="10"/>
      <c r="JJ167" s="10"/>
      <c r="JK167" s="10"/>
      <c r="JL167" s="10"/>
      <c r="JM167" s="10"/>
      <c r="JN167" s="10"/>
      <c r="JO167" s="10"/>
      <c r="JP167" s="10"/>
      <c r="JQ167" s="10"/>
      <c r="JR167" s="10"/>
      <c r="JS167" s="10"/>
      <c r="JT167" s="10"/>
    </row>
    <row r="168" spans="1:280" x14ac:dyDescent="0.2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35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HZ168" s="10"/>
      <c r="IA168" s="10"/>
      <c r="IB168" s="10"/>
      <c r="IC168" s="10"/>
      <c r="ID168" s="10"/>
      <c r="IE168" s="10"/>
      <c r="IF168" s="10"/>
      <c r="IG168" s="10"/>
      <c r="IH168" s="10"/>
      <c r="II168" s="10"/>
      <c r="IJ168" s="10"/>
      <c r="IK168" s="10"/>
      <c r="IL168" s="10"/>
      <c r="IM168" s="10"/>
      <c r="IN168" s="10"/>
      <c r="IO168" s="10"/>
      <c r="IP168" s="10"/>
      <c r="IQ168" s="10"/>
      <c r="IR168" s="10"/>
      <c r="IS168" s="10"/>
      <c r="IT168" s="10"/>
      <c r="IU168" s="10"/>
      <c r="IV168" s="10"/>
      <c r="IW168" s="10"/>
      <c r="IX168" s="10"/>
      <c r="IY168" s="10"/>
      <c r="IZ168" s="10"/>
      <c r="JA168" s="10"/>
      <c r="JB168" s="10"/>
      <c r="JC168" s="10"/>
      <c r="JD168" s="10"/>
      <c r="JE168" s="10"/>
      <c r="JF168" s="10"/>
      <c r="JG168" s="10"/>
      <c r="JH168" s="10"/>
      <c r="JI168" s="10"/>
      <c r="JJ168" s="10"/>
      <c r="JK168" s="10"/>
      <c r="JL168" s="10"/>
      <c r="JM168" s="10"/>
      <c r="JN168" s="10"/>
      <c r="JO168" s="10"/>
      <c r="JP168" s="10"/>
      <c r="JQ168" s="10"/>
      <c r="JR168" s="10"/>
      <c r="JS168" s="10"/>
      <c r="JT168" s="10"/>
    </row>
    <row r="169" spans="1:280" x14ac:dyDescent="0.2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35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HZ169" s="10"/>
      <c r="IA169" s="10"/>
      <c r="IB169" s="10"/>
      <c r="IC169" s="10"/>
      <c r="ID169" s="10"/>
      <c r="IE169" s="10"/>
      <c r="IF169" s="10"/>
      <c r="IG169" s="10"/>
      <c r="IH169" s="10"/>
      <c r="II169" s="10"/>
      <c r="IJ169" s="10"/>
      <c r="IK169" s="10"/>
      <c r="IL169" s="10"/>
      <c r="IM169" s="10"/>
      <c r="IN169" s="10"/>
      <c r="IO169" s="10"/>
      <c r="IP169" s="10"/>
      <c r="IQ169" s="10"/>
      <c r="IR169" s="10"/>
      <c r="IS169" s="10"/>
      <c r="IT169" s="10"/>
      <c r="IU169" s="10"/>
      <c r="IV169" s="10"/>
      <c r="IW169" s="10"/>
      <c r="IX169" s="10"/>
      <c r="IY169" s="10"/>
      <c r="IZ169" s="10"/>
      <c r="JA169" s="10"/>
      <c r="JB169" s="10"/>
      <c r="JC169" s="10"/>
      <c r="JD169" s="10"/>
      <c r="JE169" s="10"/>
      <c r="JF169" s="10"/>
      <c r="JG169" s="10"/>
      <c r="JH169" s="10"/>
      <c r="JI169" s="10"/>
      <c r="JJ169" s="10"/>
      <c r="JK169" s="10"/>
      <c r="JL169" s="10"/>
      <c r="JM169" s="10"/>
      <c r="JN169" s="10"/>
      <c r="JO169" s="10"/>
      <c r="JP169" s="10"/>
      <c r="JQ169" s="10"/>
      <c r="JR169" s="10"/>
      <c r="JS169" s="10"/>
      <c r="JT169" s="10"/>
    </row>
    <row r="170" spans="1:280" x14ac:dyDescent="0.2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35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HZ170" s="10"/>
      <c r="IA170" s="10"/>
      <c r="IB170" s="10"/>
      <c r="IC170" s="10"/>
      <c r="ID170" s="10"/>
      <c r="IE170" s="10"/>
      <c r="IF170" s="10"/>
      <c r="IG170" s="10"/>
      <c r="IH170" s="10"/>
      <c r="II170" s="10"/>
      <c r="IJ170" s="10"/>
      <c r="IK170" s="10"/>
      <c r="IL170" s="10"/>
      <c r="IM170" s="10"/>
      <c r="IN170" s="10"/>
      <c r="IO170" s="10"/>
      <c r="IP170" s="10"/>
      <c r="IQ170" s="10"/>
      <c r="IR170" s="10"/>
      <c r="IS170" s="10"/>
      <c r="IT170" s="10"/>
      <c r="IU170" s="10"/>
      <c r="IV170" s="10"/>
      <c r="IW170" s="10"/>
      <c r="IX170" s="10"/>
      <c r="IY170" s="10"/>
      <c r="IZ170" s="10"/>
      <c r="JA170" s="10"/>
      <c r="JB170" s="10"/>
      <c r="JC170" s="10"/>
      <c r="JD170" s="10"/>
      <c r="JE170" s="10"/>
      <c r="JF170" s="10"/>
      <c r="JG170" s="10"/>
      <c r="JH170" s="10"/>
      <c r="JI170" s="10"/>
      <c r="JJ170" s="10"/>
      <c r="JK170" s="10"/>
      <c r="JL170" s="10"/>
      <c r="JM170" s="10"/>
      <c r="JN170" s="10"/>
      <c r="JO170" s="10"/>
      <c r="JP170" s="10"/>
      <c r="JQ170" s="10"/>
      <c r="JR170" s="10"/>
      <c r="JS170" s="10"/>
      <c r="JT170" s="10"/>
    </row>
    <row r="171" spans="1:280" x14ac:dyDescent="0.2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35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HZ171" s="10"/>
      <c r="IA171" s="10"/>
      <c r="IB171" s="10"/>
      <c r="IC171" s="10"/>
      <c r="ID171" s="10"/>
      <c r="IE171" s="10"/>
      <c r="IF171" s="10"/>
      <c r="IG171" s="10"/>
      <c r="IH171" s="10"/>
      <c r="II171" s="10"/>
      <c r="IJ171" s="10"/>
      <c r="IK171" s="10"/>
      <c r="IL171" s="10"/>
      <c r="IM171" s="10"/>
      <c r="IN171" s="10"/>
      <c r="IO171" s="10"/>
      <c r="IP171" s="10"/>
      <c r="IQ171" s="10"/>
      <c r="IR171" s="10"/>
      <c r="IS171" s="10"/>
      <c r="IT171" s="10"/>
      <c r="IU171" s="10"/>
      <c r="IV171" s="10"/>
      <c r="IW171" s="10"/>
      <c r="IX171" s="10"/>
      <c r="IY171" s="10"/>
      <c r="IZ171" s="10"/>
      <c r="JA171" s="10"/>
      <c r="JB171" s="10"/>
      <c r="JC171" s="10"/>
      <c r="JD171" s="10"/>
      <c r="JE171" s="10"/>
      <c r="JF171" s="10"/>
      <c r="JG171" s="10"/>
      <c r="JH171" s="10"/>
      <c r="JI171" s="10"/>
      <c r="JJ171" s="10"/>
      <c r="JK171" s="10"/>
      <c r="JL171" s="10"/>
      <c r="JM171" s="10"/>
      <c r="JN171" s="10"/>
      <c r="JO171" s="10"/>
      <c r="JP171" s="10"/>
      <c r="JQ171" s="10"/>
      <c r="JR171" s="10"/>
      <c r="JS171" s="10"/>
      <c r="JT171" s="10"/>
    </row>
    <row r="172" spans="1:280" x14ac:dyDescent="0.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35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HZ172" s="10"/>
      <c r="IA172" s="10"/>
      <c r="IB172" s="10"/>
      <c r="IC172" s="10"/>
      <c r="ID172" s="10"/>
      <c r="IE172" s="10"/>
      <c r="IF172" s="10"/>
      <c r="IG172" s="10"/>
      <c r="IH172" s="10"/>
      <c r="II172" s="10"/>
      <c r="IJ172" s="10"/>
      <c r="IK172" s="10"/>
      <c r="IL172" s="10"/>
      <c r="IM172" s="10"/>
      <c r="IN172" s="10"/>
      <c r="IO172" s="10"/>
      <c r="IP172" s="10"/>
      <c r="IQ172" s="10"/>
      <c r="IR172" s="10"/>
      <c r="IS172" s="10"/>
      <c r="IT172" s="10"/>
      <c r="IU172" s="10"/>
      <c r="IV172" s="10"/>
      <c r="IW172" s="10"/>
      <c r="IX172" s="10"/>
      <c r="IY172" s="10"/>
      <c r="IZ172" s="10"/>
      <c r="JA172" s="10"/>
      <c r="JB172" s="10"/>
      <c r="JC172" s="10"/>
      <c r="JD172" s="10"/>
      <c r="JE172" s="10"/>
      <c r="JF172" s="10"/>
      <c r="JG172" s="10"/>
      <c r="JH172" s="10"/>
      <c r="JI172" s="10"/>
      <c r="JJ172" s="10"/>
      <c r="JK172" s="10"/>
      <c r="JL172" s="10"/>
      <c r="JM172" s="10"/>
      <c r="JN172" s="10"/>
      <c r="JO172" s="10"/>
      <c r="JP172" s="10"/>
      <c r="JQ172" s="10"/>
      <c r="JR172" s="10"/>
      <c r="JS172" s="10"/>
      <c r="JT172" s="10"/>
    </row>
    <row r="173" spans="1:280" x14ac:dyDescent="0.2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35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HZ173" s="10"/>
      <c r="IA173" s="10"/>
      <c r="IB173" s="10"/>
      <c r="IC173" s="10"/>
      <c r="ID173" s="10"/>
      <c r="IE173" s="10"/>
      <c r="IF173" s="10"/>
      <c r="IG173" s="10"/>
      <c r="IH173" s="10"/>
      <c r="II173" s="10"/>
      <c r="IJ173" s="10"/>
      <c r="IK173" s="10"/>
      <c r="IL173" s="10"/>
      <c r="IM173" s="10"/>
      <c r="IN173" s="10"/>
      <c r="IO173" s="10"/>
      <c r="IP173" s="10"/>
      <c r="IQ173" s="10"/>
      <c r="IR173" s="10"/>
      <c r="IS173" s="10"/>
      <c r="IT173" s="10"/>
      <c r="IU173" s="10"/>
      <c r="IV173" s="10"/>
      <c r="IW173" s="10"/>
      <c r="IX173" s="10"/>
      <c r="IY173" s="10"/>
      <c r="IZ173" s="10"/>
      <c r="JA173" s="10"/>
      <c r="JB173" s="10"/>
      <c r="JC173" s="10"/>
      <c r="JD173" s="10"/>
      <c r="JE173" s="10"/>
      <c r="JF173" s="10"/>
      <c r="JG173" s="10"/>
      <c r="JH173" s="10"/>
      <c r="JI173" s="10"/>
      <c r="JJ173" s="10"/>
      <c r="JK173" s="10"/>
      <c r="JL173" s="10"/>
      <c r="JM173" s="10"/>
      <c r="JN173" s="10"/>
      <c r="JO173" s="10"/>
      <c r="JP173" s="10"/>
      <c r="JQ173" s="10"/>
      <c r="JR173" s="10"/>
      <c r="JS173" s="10"/>
      <c r="JT173" s="10"/>
    </row>
    <row r="174" spans="1:280" x14ac:dyDescent="0.2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35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HZ174" s="10"/>
      <c r="IA174" s="10"/>
      <c r="IB174" s="10"/>
      <c r="IC174" s="10"/>
      <c r="ID174" s="10"/>
      <c r="IE174" s="10"/>
      <c r="IF174" s="10"/>
      <c r="IG174" s="10"/>
      <c r="IH174" s="10"/>
      <c r="II174" s="10"/>
      <c r="IJ174" s="10"/>
      <c r="IK174" s="10"/>
      <c r="IL174" s="10"/>
      <c r="IM174" s="10"/>
      <c r="IN174" s="10"/>
      <c r="IO174" s="10"/>
      <c r="IP174" s="10"/>
      <c r="IQ174" s="10"/>
      <c r="IR174" s="10"/>
      <c r="IS174" s="10"/>
      <c r="IT174" s="10"/>
      <c r="IU174" s="10"/>
      <c r="IV174" s="10"/>
      <c r="IW174" s="10"/>
      <c r="IX174" s="10"/>
      <c r="IY174" s="10"/>
      <c r="IZ174" s="10"/>
      <c r="JA174" s="10"/>
      <c r="JB174" s="10"/>
      <c r="JC174" s="10"/>
      <c r="JD174" s="10"/>
      <c r="JE174" s="10"/>
      <c r="JF174" s="10"/>
      <c r="JG174" s="10"/>
      <c r="JH174" s="10"/>
      <c r="JI174" s="10"/>
      <c r="JJ174" s="10"/>
      <c r="JK174" s="10"/>
      <c r="JL174" s="10"/>
      <c r="JM174" s="10"/>
      <c r="JN174" s="10"/>
      <c r="JO174" s="10"/>
      <c r="JP174" s="10"/>
      <c r="JQ174" s="10"/>
      <c r="JR174" s="10"/>
      <c r="JS174" s="10"/>
      <c r="JT174" s="10"/>
    </row>
    <row r="175" spans="1:280" x14ac:dyDescent="0.2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35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HZ175" s="10"/>
      <c r="IA175" s="10"/>
      <c r="IB175" s="10"/>
      <c r="IC175" s="10"/>
      <c r="ID175" s="10"/>
      <c r="IE175" s="10"/>
      <c r="IF175" s="10"/>
      <c r="IG175" s="10"/>
      <c r="IH175" s="10"/>
      <c r="II175" s="10"/>
      <c r="IJ175" s="10"/>
      <c r="IK175" s="10"/>
      <c r="IL175" s="10"/>
      <c r="IM175" s="10"/>
      <c r="IN175" s="10"/>
      <c r="IO175" s="10"/>
      <c r="IP175" s="10"/>
      <c r="IQ175" s="10"/>
      <c r="IR175" s="10"/>
      <c r="IS175" s="10"/>
      <c r="IT175" s="10"/>
      <c r="IU175" s="10"/>
      <c r="IV175" s="10"/>
      <c r="IW175" s="10"/>
      <c r="IX175" s="10"/>
      <c r="IY175" s="10"/>
      <c r="IZ175" s="10"/>
      <c r="JA175" s="10"/>
      <c r="JB175" s="10"/>
      <c r="JC175" s="10"/>
      <c r="JD175" s="10"/>
      <c r="JE175" s="10"/>
      <c r="JF175" s="10"/>
      <c r="JG175" s="10"/>
      <c r="JH175" s="10"/>
      <c r="JI175" s="10"/>
      <c r="JJ175" s="10"/>
      <c r="JK175" s="10"/>
      <c r="JL175" s="10"/>
      <c r="JM175" s="10"/>
      <c r="JN175" s="10"/>
      <c r="JO175" s="10"/>
      <c r="JP175" s="10"/>
      <c r="JQ175" s="10"/>
      <c r="JR175" s="10"/>
      <c r="JS175" s="10"/>
      <c r="JT175" s="10"/>
    </row>
    <row r="176" spans="1:280" x14ac:dyDescent="0.2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35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HZ176" s="10"/>
      <c r="IA176" s="10"/>
      <c r="IB176" s="10"/>
      <c r="IC176" s="10"/>
      <c r="ID176" s="10"/>
      <c r="IE176" s="10"/>
      <c r="IF176" s="10"/>
      <c r="IG176" s="10"/>
      <c r="IH176" s="10"/>
      <c r="II176" s="10"/>
      <c r="IJ176" s="10"/>
      <c r="IK176" s="10"/>
      <c r="IL176" s="10"/>
      <c r="IM176" s="10"/>
      <c r="IN176" s="10"/>
      <c r="IO176" s="10"/>
      <c r="IP176" s="10"/>
      <c r="IQ176" s="10"/>
      <c r="IR176" s="10"/>
      <c r="IS176" s="10"/>
      <c r="IT176" s="10"/>
      <c r="IU176" s="10"/>
      <c r="IV176" s="10"/>
      <c r="IW176" s="10"/>
      <c r="IX176" s="10"/>
      <c r="IY176" s="10"/>
      <c r="IZ176" s="10"/>
      <c r="JA176" s="10"/>
      <c r="JB176" s="10"/>
      <c r="JC176" s="10"/>
      <c r="JD176" s="10"/>
      <c r="JE176" s="10"/>
      <c r="JF176" s="10"/>
      <c r="JG176" s="10"/>
      <c r="JH176" s="10"/>
      <c r="JI176" s="10"/>
      <c r="JJ176" s="10"/>
      <c r="JK176" s="10"/>
      <c r="JL176" s="10"/>
      <c r="JM176" s="10"/>
      <c r="JN176" s="10"/>
      <c r="JO176" s="10"/>
      <c r="JP176" s="10"/>
      <c r="JQ176" s="10"/>
      <c r="JR176" s="10"/>
      <c r="JS176" s="10"/>
      <c r="JT176" s="10"/>
    </row>
    <row r="177" spans="1:280" x14ac:dyDescent="0.2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35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HZ177" s="10"/>
      <c r="IA177" s="10"/>
      <c r="IB177" s="10"/>
      <c r="IC177" s="10"/>
      <c r="ID177" s="10"/>
      <c r="IE177" s="10"/>
      <c r="IF177" s="10"/>
      <c r="IG177" s="10"/>
      <c r="IH177" s="10"/>
      <c r="II177" s="10"/>
      <c r="IJ177" s="10"/>
      <c r="IK177" s="10"/>
      <c r="IL177" s="10"/>
      <c r="IM177" s="10"/>
      <c r="IN177" s="10"/>
      <c r="IO177" s="10"/>
      <c r="IP177" s="10"/>
      <c r="IQ177" s="10"/>
      <c r="IR177" s="10"/>
      <c r="IS177" s="10"/>
      <c r="IT177" s="10"/>
      <c r="IU177" s="10"/>
      <c r="IV177" s="10"/>
      <c r="IW177" s="10"/>
      <c r="IX177" s="10"/>
      <c r="IY177" s="10"/>
      <c r="IZ177" s="10"/>
      <c r="JA177" s="10"/>
      <c r="JB177" s="10"/>
      <c r="JC177" s="10"/>
      <c r="JD177" s="10"/>
      <c r="JE177" s="10"/>
      <c r="JF177" s="10"/>
      <c r="JG177" s="10"/>
      <c r="JH177" s="10"/>
      <c r="JI177" s="10"/>
      <c r="JJ177" s="10"/>
      <c r="JK177" s="10"/>
      <c r="JL177" s="10"/>
      <c r="JM177" s="10"/>
      <c r="JN177" s="10"/>
      <c r="JO177" s="10"/>
      <c r="JP177" s="10"/>
      <c r="JQ177" s="10"/>
      <c r="JR177" s="10"/>
      <c r="JS177" s="10"/>
      <c r="JT177" s="10"/>
    </row>
    <row r="178" spans="1:280" x14ac:dyDescent="0.2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35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HZ178" s="10"/>
      <c r="IA178" s="10"/>
      <c r="IB178" s="10"/>
      <c r="IC178" s="10"/>
      <c r="ID178" s="10"/>
      <c r="IE178" s="10"/>
      <c r="IF178" s="10"/>
      <c r="IG178" s="10"/>
      <c r="IH178" s="10"/>
      <c r="II178" s="10"/>
      <c r="IJ178" s="10"/>
      <c r="IK178" s="10"/>
      <c r="IL178" s="10"/>
      <c r="IM178" s="10"/>
      <c r="IN178" s="10"/>
      <c r="IO178" s="10"/>
      <c r="IP178" s="10"/>
      <c r="IQ178" s="10"/>
      <c r="IR178" s="10"/>
      <c r="IS178" s="10"/>
      <c r="IT178" s="10"/>
      <c r="IU178" s="10"/>
      <c r="IV178" s="10"/>
      <c r="IW178" s="10"/>
      <c r="IX178" s="10"/>
      <c r="IY178" s="10"/>
      <c r="IZ178" s="10"/>
      <c r="JA178" s="10"/>
      <c r="JB178" s="10"/>
      <c r="JC178" s="10"/>
      <c r="JD178" s="10"/>
      <c r="JE178" s="10"/>
      <c r="JF178" s="10"/>
      <c r="JG178" s="10"/>
      <c r="JH178" s="10"/>
      <c r="JI178" s="10"/>
      <c r="JJ178" s="10"/>
      <c r="JK178" s="10"/>
      <c r="JL178" s="10"/>
      <c r="JM178" s="10"/>
      <c r="JN178" s="10"/>
      <c r="JO178" s="10"/>
      <c r="JP178" s="10"/>
      <c r="JQ178" s="10"/>
      <c r="JR178" s="10"/>
      <c r="JS178" s="10"/>
      <c r="JT178" s="10"/>
    </row>
    <row r="179" spans="1:280" x14ac:dyDescent="0.2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35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HZ179" s="10"/>
      <c r="IA179" s="10"/>
      <c r="IB179" s="10"/>
      <c r="IC179" s="10"/>
      <c r="ID179" s="10"/>
      <c r="IE179" s="10"/>
      <c r="IF179" s="10"/>
      <c r="IG179" s="10"/>
      <c r="IH179" s="10"/>
      <c r="II179" s="10"/>
      <c r="IJ179" s="10"/>
      <c r="IK179" s="10"/>
      <c r="IL179" s="10"/>
      <c r="IM179" s="10"/>
      <c r="IN179" s="10"/>
      <c r="IO179" s="10"/>
      <c r="IP179" s="10"/>
      <c r="IQ179" s="10"/>
      <c r="IR179" s="10"/>
      <c r="IS179" s="10"/>
      <c r="IT179" s="10"/>
      <c r="IU179" s="10"/>
      <c r="IV179" s="10"/>
      <c r="IW179" s="10"/>
      <c r="IX179" s="10"/>
      <c r="IY179" s="10"/>
      <c r="IZ179" s="10"/>
      <c r="JA179" s="10"/>
      <c r="JB179" s="10"/>
      <c r="JC179" s="10"/>
      <c r="JD179" s="10"/>
      <c r="JE179" s="10"/>
      <c r="JF179" s="10"/>
      <c r="JG179" s="10"/>
      <c r="JH179" s="10"/>
      <c r="JI179" s="10"/>
      <c r="JJ179" s="10"/>
      <c r="JK179" s="10"/>
      <c r="JL179" s="10"/>
      <c r="JM179" s="10"/>
      <c r="JN179" s="10"/>
      <c r="JO179" s="10"/>
      <c r="JP179" s="10"/>
      <c r="JQ179" s="10"/>
      <c r="JR179" s="10"/>
      <c r="JS179" s="10"/>
      <c r="JT179" s="10"/>
    </row>
    <row r="180" spans="1:280" x14ac:dyDescent="0.2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35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HZ180" s="10"/>
      <c r="IA180" s="10"/>
      <c r="IB180" s="10"/>
      <c r="IC180" s="10"/>
      <c r="ID180" s="10"/>
      <c r="IE180" s="10"/>
      <c r="IF180" s="10"/>
      <c r="IG180" s="10"/>
      <c r="IH180" s="10"/>
      <c r="II180" s="10"/>
      <c r="IJ180" s="10"/>
      <c r="IK180" s="10"/>
      <c r="IL180" s="10"/>
      <c r="IM180" s="10"/>
      <c r="IN180" s="10"/>
      <c r="IO180" s="10"/>
      <c r="IP180" s="10"/>
      <c r="IQ180" s="10"/>
      <c r="IR180" s="10"/>
      <c r="IS180" s="10"/>
      <c r="IT180" s="10"/>
      <c r="IU180" s="10"/>
      <c r="IV180" s="10"/>
      <c r="IW180" s="10"/>
      <c r="IX180" s="10"/>
      <c r="IY180" s="10"/>
      <c r="IZ180" s="10"/>
      <c r="JA180" s="10"/>
      <c r="JB180" s="10"/>
      <c r="JC180" s="10"/>
      <c r="JD180" s="10"/>
      <c r="JE180" s="10"/>
      <c r="JF180" s="10"/>
      <c r="JG180" s="10"/>
      <c r="JH180" s="10"/>
      <c r="JI180" s="10"/>
      <c r="JJ180" s="10"/>
      <c r="JK180" s="10"/>
      <c r="JL180" s="10"/>
      <c r="JM180" s="10"/>
      <c r="JN180" s="10"/>
      <c r="JO180" s="10"/>
      <c r="JP180" s="10"/>
      <c r="JQ180" s="10"/>
      <c r="JR180" s="10"/>
      <c r="JS180" s="10"/>
      <c r="JT180" s="10"/>
    </row>
    <row r="181" spans="1:280" x14ac:dyDescent="0.2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35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HZ181" s="10"/>
      <c r="IA181" s="10"/>
      <c r="IB181" s="10"/>
      <c r="IC181" s="10"/>
      <c r="ID181" s="10"/>
      <c r="IE181" s="10"/>
      <c r="IF181" s="10"/>
      <c r="IG181" s="10"/>
      <c r="IH181" s="10"/>
      <c r="II181" s="10"/>
      <c r="IJ181" s="10"/>
      <c r="IK181" s="10"/>
      <c r="IL181" s="10"/>
      <c r="IM181" s="10"/>
      <c r="IN181" s="10"/>
      <c r="IO181" s="10"/>
      <c r="IP181" s="10"/>
      <c r="IQ181" s="10"/>
      <c r="IR181" s="10"/>
      <c r="IS181" s="10"/>
      <c r="IT181" s="10"/>
      <c r="IU181" s="10"/>
      <c r="IV181" s="10"/>
      <c r="IW181" s="10"/>
      <c r="IX181" s="10"/>
      <c r="IY181" s="10"/>
      <c r="IZ181" s="10"/>
      <c r="JA181" s="10"/>
      <c r="JB181" s="10"/>
      <c r="JC181" s="10"/>
      <c r="JD181" s="10"/>
      <c r="JE181" s="10"/>
      <c r="JF181" s="10"/>
      <c r="JG181" s="10"/>
      <c r="JH181" s="10"/>
      <c r="JI181" s="10"/>
      <c r="JJ181" s="10"/>
      <c r="JK181" s="10"/>
      <c r="JL181" s="10"/>
      <c r="JM181" s="10"/>
      <c r="JN181" s="10"/>
      <c r="JO181" s="10"/>
      <c r="JP181" s="10"/>
      <c r="JQ181" s="10"/>
      <c r="JR181" s="10"/>
      <c r="JS181" s="10"/>
      <c r="JT181" s="10"/>
    </row>
    <row r="182" spans="1:280" x14ac:dyDescent="0.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35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HZ182" s="10"/>
      <c r="IA182" s="10"/>
      <c r="IB182" s="10"/>
      <c r="IC182" s="10"/>
      <c r="ID182" s="10"/>
      <c r="IE182" s="10"/>
      <c r="IF182" s="10"/>
      <c r="IG182" s="10"/>
      <c r="IH182" s="10"/>
      <c r="II182" s="10"/>
      <c r="IJ182" s="10"/>
      <c r="IK182" s="10"/>
      <c r="IL182" s="10"/>
      <c r="IM182" s="10"/>
      <c r="IN182" s="10"/>
      <c r="IO182" s="10"/>
      <c r="IP182" s="10"/>
      <c r="IQ182" s="10"/>
      <c r="IR182" s="10"/>
      <c r="IS182" s="10"/>
      <c r="IT182" s="10"/>
      <c r="IU182" s="10"/>
      <c r="IV182" s="10"/>
      <c r="IW182" s="10"/>
      <c r="IX182" s="10"/>
      <c r="IY182" s="10"/>
      <c r="IZ182" s="10"/>
      <c r="JA182" s="10"/>
      <c r="JB182" s="10"/>
      <c r="JC182" s="10"/>
      <c r="JD182" s="10"/>
      <c r="JE182" s="10"/>
      <c r="JF182" s="10"/>
      <c r="JG182" s="10"/>
      <c r="JH182" s="10"/>
      <c r="JI182" s="10"/>
      <c r="JJ182" s="10"/>
      <c r="JK182" s="10"/>
      <c r="JL182" s="10"/>
      <c r="JM182" s="10"/>
      <c r="JN182" s="10"/>
      <c r="JO182" s="10"/>
      <c r="JP182" s="10"/>
      <c r="JQ182" s="10"/>
      <c r="JR182" s="10"/>
      <c r="JS182" s="10"/>
      <c r="JT182" s="10"/>
    </row>
    <row r="183" spans="1:280" x14ac:dyDescent="0.2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</row>
    <row r="184" spans="1:280" x14ac:dyDescent="0.2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</row>
    <row r="185" spans="1:280" x14ac:dyDescent="0.2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</row>
    <row r="186" spans="1:280" x14ac:dyDescent="0.2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</row>
    <row r="187" spans="1:280" x14ac:dyDescent="0.2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</row>
    <row r="188" spans="1:280" x14ac:dyDescent="0.2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</row>
    <row r="189" spans="1:280" x14ac:dyDescent="0.2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</row>
    <row r="190" spans="1:280" x14ac:dyDescent="0.2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</row>
    <row r="191" spans="1:280" x14ac:dyDescent="0.2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</row>
    <row r="192" spans="1:280" x14ac:dyDescent="0.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</row>
    <row r="193" spans="1:13" x14ac:dyDescent="0.2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</row>
    <row r="194" spans="1:13" x14ac:dyDescent="0.2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</row>
    <row r="195" spans="1:13" x14ac:dyDescent="0.2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</row>
    <row r="196" spans="1:13" x14ac:dyDescent="0.2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</row>
    <row r="197" spans="1:13" x14ac:dyDescent="0.2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</row>
    <row r="198" spans="1:13" x14ac:dyDescent="0.2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</row>
    <row r="199" spans="1:13" x14ac:dyDescent="0.2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</row>
    <row r="200" spans="1:13" x14ac:dyDescent="0.2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</row>
    <row r="201" spans="1:13" x14ac:dyDescent="0.2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</row>
    <row r="202" spans="1:13" x14ac:dyDescent="0.2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</row>
    <row r="203" spans="1:13" x14ac:dyDescent="0.2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</row>
  </sheetData>
  <sheetProtection algorithmName="SHA-512" hashValue="c5l1QUT0+RUqG2Lwaa9qwtzPdaqVT4mFXl3jRb3Wtm5guIZfVmx0Ow3BKZZYCKAFGLD2A6SRJfwFGAjMA7AAig==" saltValue="D9f/gfVlbGpnWqQhbKP5SQ==" spinCount="100000" sheet="1" objects="1" scenarios="1"/>
  <mergeCells count="33">
    <mergeCell ref="D56:E56"/>
    <mergeCell ref="G56:H56"/>
    <mergeCell ref="A11:M11"/>
    <mergeCell ref="A45:B45"/>
    <mergeCell ref="A37:B37"/>
    <mergeCell ref="A39:B39"/>
    <mergeCell ref="A41:B41"/>
    <mergeCell ref="A43:B43"/>
    <mergeCell ref="K15:M15"/>
    <mergeCell ref="A49:C49"/>
    <mergeCell ref="U26:Y26"/>
    <mergeCell ref="U22:Y22"/>
    <mergeCell ref="L44:M47"/>
    <mergeCell ref="O11:Q11"/>
    <mergeCell ref="C37:M37"/>
    <mergeCell ref="O22:S22"/>
    <mergeCell ref="O37:S37"/>
    <mergeCell ref="O45:S45"/>
    <mergeCell ref="S11:S18"/>
    <mergeCell ref="O42:Q42"/>
    <mergeCell ref="V11:V18"/>
    <mergeCell ref="U42:Y42"/>
    <mergeCell ref="L43:M43"/>
    <mergeCell ref="R62:S64"/>
    <mergeCell ref="R65:S65"/>
    <mergeCell ref="U30:Y30"/>
    <mergeCell ref="U34:Y34"/>
    <mergeCell ref="U38:Y38"/>
    <mergeCell ref="R57:S59"/>
    <mergeCell ref="R60:S60"/>
    <mergeCell ref="U46:Y46"/>
    <mergeCell ref="U50:Y50"/>
    <mergeCell ref="U54:Y54"/>
  </mergeCells>
  <phoneticPr fontId="9" type="noConversion"/>
  <conditionalFormatting sqref="C43">
    <cfRule type="cellIs" dxfId="57" priority="3" stopIfTrue="1" operator="lessThan">
      <formula>18</formula>
    </cfRule>
  </conditionalFormatting>
  <conditionalFormatting sqref="C39">
    <cfRule type="cellIs" dxfId="56" priority="5" stopIfTrue="1" operator="equal">
      <formula>0</formula>
    </cfRule>
    <cfRule type="cellIs" dxfId="55" priority="6" stopIfTrue="1" operator="greaterThan">
      <formula>2</formula>
    </cfRule>
  </conditionalFormatting>
  <conditionalFormatting sqref="C45">
    <cfRule type="cellIs" dxfId="54" priority="8" stopIfTrue="1" operator="equal">
      <formula>0</formula>
    </cfRule>
  </conditionalFormatting>
  <conditionalFormatting sqref="O12:Q19">
    <cfRule type="containsText" dxfId="53" priority="1" operator="containsText" text="TRUE">
      <formula>NOT(ISERROR(SEARCH("TRUE",O12)))</formula>
    </cfRule>
    <cfRule type="containsText" dxfId="52" priority="2" operator="containsText" text="FALSE">
      <formula>NOT(ISERROR(SEARCH("FALSE",O12)))</formula>
    </cfRule>
  </conditionalFormatting>
  <pageMargins left="0.25" right="0.25" top="0.25" bottom="0.25" header="0.511811023622047" footer="0.511811023622047"/>
  <pageSetup paperSize="9" scale="1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10" r:id="rId4" name="Check Box 38">
              <controlPr defaultSize="0" autoFill="0" autoLine="0" autoPict="0">
                <anchor moveWithCells="1">
                  <from>
                    <xdr:col>32</xdr:col>
                    <xdr:colOff>444500</xdr:colOff>
                    <xdr:row>51</xdr:row>
                    <xdr:rowOff>88900</xdr:rowOff>
                  </from>
                  <to>
                    <xdr:col>32</xdr:col>
                    <xdr:colOff>444500</xdr:colOff>
                    <xdr:row>51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5" name="Check Box 39">
              <controlPr defaultSize="0" autoFill="0" autoLine="0" autoPict="0" altText="24 años">
                <anchor moveWithCells="1">
                  <from>
                    <xdr:col>9</xdr:col>
                    <xdr:colOff>254000</xdr:colOff>
                    <xdr:row>38</xdr:row>
                    <xdr:rowOff>165100</xdr:rowOff>
                  </from>
                  <to>
                    <xdr:col>9</xdr:col>
                    <xdr:colOff>533400</xdr:colOff>
                    <xdr:row>39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6" name="Drop Down 45">
              <controlPr defaultSize="0" autoLine="0" autoPict="0">
                <anchor moveWithCells="1">
                  <from>
                    <xdr:col>10</xdr:col>
                    <xdr:colOff>25400</xdr:colOff>
                    <xdr:row>39</xdr:row>
                    <xdr:rowOff>241300</xdr:rowOff>
                  </from>
                  <to>
                    <xdr:col>12</xdr:col>
                    <xdr:colOff>1473200</xdr:colOff>
                    <xdr:row>41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7" name="Drop Down 46">
              <controlPr defaultSize="0" autoLine="0" autoPict="0">
                <anchor moveWithCells="1">
                  <from>
                    <xdr:col>3</xdr:col>
                    <xdr:colOff>1295400</xdr:colOff>
                    <xdr:row>40</xdr:row>
                    <xdr:rowOff>63500</xdr:rowOff>
                  </from>
                  <to>
                    <xdr:col>5</xdr:col>
                    <xdr:colOff>1168400</xdr:colOff>
                    <xdr:row>41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70816-7E57-D447-9883-FADCB95CE8E9}">
  <sheetPr codeName="Sheet10">
    <pageSetUpPr fitToPage="1"/>
  </sheetPr>
  <dimension ref="A1:U87"/>
  <sheetViews>
    <sheetView showGridLines="0" zoomScaleNormal="100" zoomScaleSheetLayoutView="100" workbookViewId="0">
      <selection activeCell="A12" sqref="A12"/>
    </sheetView>
  </sheetViews>
  <sheetFormatPr baseColWidth="10" defaultColWidth="8.6640625" defaultRowHeight="16" x14ac:dyDescent="0.2"/>
  <cols>
    <col min="1" max="1" width="44.1640625" style="252" bestFit="1" customWidth="1"/>
    <col min="2" max="7" width="20.83203125" style="252" customWidth="1"/>
    <col min="8" max="8" width="8.6640625" style="252"/>
    <col min="9" max="21" width="8.83203125" style="252" customWidth="1"/>
    <col min="22" max="16384" width="8.6640625" style="252"/>
  </cols>
  <sheetData>
    <row r="1" spans="1:20" ht="18" x14ac:dyDescent="0.2">
      <c r="A1" s="250"/>
      <c r="B1" s="251" t="b">
        <v>1</v>
      </c>
      <c r="C1" s="251" t="b">
        <v>1</v>
      </c>
      <c r="D1" s="250"/>
      <c r="E1" s="250"/>
      <c r="F1" s="250"/>
      <c r="G1" s="250"/>
      <c r="I1" s="460" t="s">
        <v>51</v>
      </c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2"/>
    </row>
    <row r="2" spans="1:20" x14ac:dyDescent="0.2">
      <c r="A2" s="250"/>
      <c r="B2" s="250"/>
      <c r="C2" s="250"/>
      <c r="D2" s="250" t="s">
        <v>0</v>
      </c>
      <c r="E2" s="250" t="s">
        <v>0</v>
      </c>
      <c r="F2" s="250" t="s">
        <v>0</v>
      </c>
      <c r="G2" s="250"/>
      <c r="I2" s="253"/>
      <c r="J2" s="254"/>
      <c r="K2" s="254"/>
      <c r="L2" s="254"/>
      <c r="M2" s="254"/>
      <c r="N2" s="254"/>
      <c r="O2" s="254"/>
      <c r="P2" s="254"/>
      <c r="Q2" s="254"/>
      <c r="R2" s="254"/>
      <c r="S2" s="254"/>
      <c r="T2" s="255"/>
    </row>
    <row r="3" spans="1:20" x14ac:dyDescent="0.2">
      <c r="A3" s="250"/>
      <c r="B3" s="250"/>
      <c r="C3" s="250"/>
      <c r="D3" s="250"/>
      <c r="E3" s="250"/>
      <c r="F3" s="250"/>
      <c r="G3" s="250"/>
      <c r="I3" s="253"/>
      <c r="J3" s="254"/>
      <c r="K3" s="254"/>
      <c r="L3" s="254"/>
      <c r="M3" s="254"/>
      <c r="N3" s="254"/>
      <c r="O3" s="254"/>
      <c r="P3" s="254"/>
      <c r="Q3" s="254"/>
      <c r="R3" s="254"/>
      <c r="S3" s="254"/>
      <c r="T3" s="255"/>
    </row>
    <row r="4" spans="1:20" x14ac:dyDescent="0.2">
      <c r="A4" s="250"/>
      <c r="B4" s="250"/>
      <c r="C4" s="250"/>
      <c r="D4" s="250"/>
      <c r="E4" s="250"/>
      <c r="F4" s="250"/>
      <c r="G4" s="250"/>
      <c r="I4" s="253"/>
      <c r="J4" s="254"/>
      <c r="K4" s="254"/>
      <c r="L4" s="254"/>
      <c r="M4" s="254"/>
      <c r="N4" s="254"/>
      <c r="O4" s="254"/>
      <c r="P4" s="254"/>
      <c r="Q4" s="254"/>
      <c r="R4" s="254"/>
      <c r="S4" s="254"/>
      <c r="T4" s="255"/>
    </row>
    <row r="5" spans="1:20" x14ac:dyDescent="0.2">
      <c r="A5" s="463" t="s">
        <v>52</v>
      </c>
      <c r="B5" s="464"/>
      <c r="C5" s="464"/>
      <c r="D5" s="464"/>
      <c r="E5" s="464"/>
      <c r="F5" s="464"/>
      <c r="G5" s="465" t="s">
        <v>53</v>
      </c>
      <c r="I5" s="253"/>
      <c r="J5" s="254"/>
      <c r="K5" s="254"/>
      <c r="L5" s="254"/>
      <c r="M5" s="254"/>
      <c r="N5" s="254"/>
      <c r="O5" s="254"/>
      <c r="P5" s="254"/>
      <c r="Q5" s="254"/>
      <c r="R5" s="254"/>
      <c r="S5" s="254"/>
      <c r="T5" s="255"/>
    </row>
    <row r="6" spans="1:20" x14ac:dyDescent="0.2">
      <c r="A6" s="464"/>
      <c r="B6" s="464"/>
      <c r="C6" s="464"/>
      <c r="D6" s="464"/>
      <c r="E6" s="464"/>
      <c r="F6" s="464"/>
      <c r="G6" s="465"/>
      <c r="I6" s="253"/>
      <c r="J6" s="254"/>
      <c r="K6" s="254"/>
      <c r="L6" s="254"/>
      <c r="M6" s="254"/>
      <c r="N6" s="254"/>
      <c r="O6" s="254"/>
      <c r="P6" s="254"/>
      <c r="Q6" s="254"/>
      <c r="R6" s="254"/>
      <c r="S6" s="254"/>
      <c r="T6" s="255"/>
    </row>
    <row r="7" spans="1:20" x14ac:dyDescent="0.2">
      <c r="A7" s="464"/>
      <c r="B7" s="464"/>
      <c r="C7" s="464"/>
      <c r="D7" s="464"/>
      <c r="E7" s="464"/>
      <c r="F7" s="464"/>
      <c r="G7" s="466" t="str">
        <f>'INGRESO DE DATOS'!W20</f>
        <v>Resto de Ecuador</v>
      </c>
      <c r="I7" s="253"/>
      <c r="J7" s="254"/>
      <c r="K7" s="254"/>
      <c r="L7" s="254"/>
      <c r="M7" s="254"/>
      <c r="N7" s="254"/>
      <c r="O7" s="254"/>
      <c r="P7" s="254"/>
      <c r="Q7" s="254"/>
      <c r="R7" s="254"/>
      <c r="S7" s="254"/>
      <c r="T7" s="255"/>
    </row>
    <row r="8" spans="1:20" x14ac:dyDescent="0.2">
      <c r="A8" s="464"/>
      <c r="B8" s="464"/>
      <c r="C8" s="464"/>
      <c r="D8" s="464"/>
      <c r="E8" s="464"/>
      <c r="F8" s="464"/>
      <c r="G8" s="466"/>
      <c r="I8" s="253"/>
      <c r="J8" s="254"/>
      <c r="K8" s="254"/>
      <c r="L8" s="254"/>
      <c r="M8" s="254"/>
      <c r="N8" s="254"/>
      <c r="O8" s="254"/>
      <c r="P8" s="254"/>
      <c r="Q8" s="254"/>
      <c r="R8" s="254"/>
      <c r="S8" s="254"/>
      <c r="T8" s="255"/>
    </row>
    <row r="9" spans="1:20" x14ac:dyDescent="0.2">
      <c r="A9" s="464"/>
      <c r="B9" s="464"/>
      <c r="C9" s="464"/>
      <c r="D9" s="464"/>
      <c r="E9" s="464"/>
      <c r="F9" s="464"/>
      <c r="G9" s="466"/>
      <c r="I9" s="253"/>
      <c r="J9" s="254"/>
      <c r="K9" s="254"/>
      <c r="L9" s="254"/>
      <c r="M9" s="254"/>
      <c r="N9" s="254"/>
      <c r="O9" s="254"/>
      <c r="P9" s="254"/>
      <c r="Q9" s="254"/>
      <c r="R9" s="254"/>
      <c r="S9" s="254"/>
      <c r="T9" s="255"/>
    </row>
    <row r="10" spans="1:20" x14ac:dyDescent="0.2">
      <c r="A10" s="464"/>
      <c r="B10" s="464"/>
      <c r="C10" s="464"/>
      <c r="D10" s="464"/>
      <c r="E10" s="464"/>
      <c r="F10" s="464"/>
      <c r="G10" s="466"/>
      <c r="I10" s="253"/>
      <c r="J10" s="254"/>
      <c r="K10" s="254"/>
      <c r="L10" s="254"/>
      <c r="M10" s="254"/>
      <c r="N10" s="254"/>
      <c r="O10" s="254"/>
      <c r="P10" s="254"/>
      <c r="Q10" s="254"/>
      <c r="R10" s="254"/>
      <c r="S10" s="254"/>
      <c r="T10" s="255"/>
    </row>
    <row r="11" spans="1:20" x14ac:dyDescent="0.2">
      <c r="A11" s="464"/>
      <c r="B11" s="464"/>
      <c r="C11" s="464"/>
      <c r="D11" s="464"/>
      <c r="E11" s="464"/>
      <c r="F11" s="464"/>
      <c r="G11" s="466"/>
      <c r="I11" s="253"/>
      <c r="J11" s="254"/>
      <c r="K11" s="254"/>
      <c r="L11" s="254"/>
      <c r="M11" s="254"/>
      <c r="N11" s="254"/>
      <c r="O11" s="254"/>
      <c r="P11" s="254"/>
      <c r="Q11" s="254"/>
      <c r="R11" s="254"/>
      <c r="S11" s="254"/>
      <c r="T11" s="255"/>
    </row>
    <row r="12" spans="1:20" ht="6" customHeight="1" x14ac:dyDescent="0.2">
      <c r="A12" s="256"/>
      <c r="B12" s="254"/>
      <c r="C12" s="254"/>
      <c r="D12" s="254"/>
      <c r="E12" s="254"/>
      <c r="F12" s="254"/>
      <c r="G12" s="254"/>
      <c r="I12" s="253"/>
      <c r="J12" s="254"/>
      <c r="K12" s="254"/>
      <c r="L12" s="254"/>
      <c r="M12" s="254"/>
      <c r="N12" s="254"/>
      <c r="O12" s="254"/>
      <c r="P12" s="254"/>
      <c r="Q12" s="254"/>
      <c r="R12" s="254"/>
      <c r="S12" s="254"/>
      <c r="T12" s="255"/>
    </row>
    <row r="13" spans="1:20" x14ac:dyDescent="0.2">
      <c r="A13" s="109" t="s">
        <v>54</v>
      </c>
      <c r="B13" s="467" t="str">
        <f>+'INGRESO DE DATOS'!$C$37</f>
        <v>John Doe</v>
      </c>
      <c r="C13" s="468"/>
      <c r="D13" s="468"/>
      <c r="E13" s="468"/>
      <c r="F13" s="468"/>
      <c r="G13" s="469"/>
      <c r="I13" s="253"/>
      <c r="J13" s="254"/>
      <c r="K13" s="254"/>
      <c r="L13" s="254"/>
      <c r="M13" s="254"/>
      <c r="N13" s="254"/>
      <c r="O13" s="254"/>
      <c r="P13" s="254"/>
      <c r="Q13" s="254"/>
      <c r="R13" s="254"/>
      <c r="S13" s="254"/>
      <c r="T13" s="255"/>
    </row>
    <row r="14" spans="1:20" x14ac:dyDescent="0.2">
      <c r="A14" s="61"/>
      <c r="B14" s="254"/>
      <c r="C14" s="254"/>
      <c r="D14" s="254"/>
      <c r="E14" s="254"/>
      <c r="F14" s="254"/>
      <c r="G14" s="254"/>
      <c r="I14" s="253"/>
      <c r="J14" s="254"/>
      <c r="K14" s="254"/>
      <c r="L14" s="254"/>
      <c r="M14" s="254"/>
      <c r="N14" s="254"/>
      <c r="O14" s="254"/>
      <c r="P14" s="254"/>
      <c r="Q14" s="254"/>
      <c r="R14" s="254"/>
      <c r="S14" s="254"/>
      <c r="T14" s="255"/>
    </row>
    <row r="15" spans="1:20" x14ac:dyDescent="0.2">
      <c r="A15" s="257" t="s">
        <v>55</v>
      </c>
      <c r="B15" s="457">
        <f>+'INGRESO DE DATOS'!$C$44</f>
        <v>0</v>
      </c>
      <c r="C15" s="458"/>
      <c r="D15" s="458"/>
      <c r="E15" s="458"/>
      <c r="F15" s="458"/>
      <c r="G15" s="459"/>
      <c r="I15" s="253"/>
      <c r="J15" s="254"/>
      <c r="K15" s="254"/>
      <c r="L15" s="254"/>
      <c r="M15" s="254"/>
      <c r="N15" s="254"/>
      <c r="O15" s="254"/>
      <c r="P15" s="254"/>
      <c r="Q15" s="254"/>
      <c r="R15" s="254"/>
      <c r="S15" s="254"/>
      <c r="T15" s="255"/>
    </row>
    <row r="16" spans="1:20" x14ac:dyDescent="0.2">
      <c r="A16" s="109"/>
      <c r="B16" s="254"/>
      <c r="C16" s="254"/>
      <c r="D16" s="254"/>
      <c r="E16" s="254"/>
      <c r="F16" s="254"/>
      <c r="G16" s="254"/>
      <c r="I16" s="253"/>
      <c r="J16" s="254"/>
      <c r="K16" s="254"/>
      <c r="L16" s="254"/>
      <c r="M16" s="254"/>
      <c r="N16" s="254"/>
      <c r="O16" s="254"/>
      <c r="P16" s="254"/>
      <c r="Q16" s="254"/>
      <c r="R16" s="254"/>
      <c r="S16" s="254"/>
      <c r="T16" s="255"/>
    </row>
    <row r="17" spans="1:21" x14ac:dyDescent="0.2">
      <c r="A17" s="257" t="s">
        <v>56</v>
      </c>
      <c r="B17" s="258">
        <f>+'INGRESO DE DATOS'!$C$39</f>
        <v>2</v>
      </c>
      <c r="C17" s="254"/>
      <c r="D17" s="444" t="s">
        <v>57</v>
      </c>
      <c r="E17" s="444"/>
      <c r="F17" s="445"/>
      <c r="G17" s="258">
        <f>+'INGRESO DE DATOS'!$C$41</f>
        <v>1</v>
      </c>
      <c r="I17" s="253"/>
      <c r="J17" s="254"/>
      <c r="K17" s="254"/>
      <c r="L17" s="254"/>
      <c r="M17" s="254"/>
      <c r="N17" s="254"/>
      <c r="O17" s="254"/>
      <c r="P17" s="254"/>
      <c r="Q17" s="254"/>
      <c r="R17" s="254"/>
      <c r="S17" s="254"/>
      <c r="T17" s="255"/>
    </row>
    <row r="18" spans="1:21" x14ac:dyDescent="0.2">
      <c r="A18" s="259"/>
      <c r="B18" s="254"/>
      <c r="C18" s="254"/>
      <c r="D18" s="456" t="str">
        <f>IF('INGRESO DE DATOS'!$P$2=TRUE, "Cotización para dependiente de 24 años","")</f>
        <v/>
      </c>
      <c r="E18" s="456"/>
      <c r="F18" s="254"/>
      <c r="G18" s="254"/>
      <c r="I18" s="253"/>
      <c r="J18" s="254"/>
      <c r="K18" s="260"/>
      <c r="L18" s="254"/>
      <c r="M18" s="254"/>
      <c r="N18" s="254"/>
      <c r="O18" s="254"/>
      <c r="P18" s="254"/>
      <c r="Q18" s="254"/>
      <c r="R18" s="254"/>
      <c r="S18" s="254"/>
      <c r="T18" s="255"/>
    </row>
    <row r="19" spans="1:21" s="262" customFormat="1" x14ac:dyDescent="0.2">
      <c r="A19" s="109" t="s">
        <v>58</v>
      </c>
      <c r="B19" s="258">
        <f>+'INGRESO DE DATOS'!$C$43</f>
        <v>34</v>
      </c>
      <c r="C19" s="261"/>
      <c r="D19" s="446" t="s">
        <v>59</v>
      </c>
      <c r="E19" s="446"/>
      <c r="F19" s="447"/>
      <c r="G19" s="258">
        <f>+'INGRESO DE DATOS'!$C$45</f>
        <v>32</v>
      </c>
      <c r="I19" s="253"/>
      <c r="J19" s="254"/>
      <c r="K19" s="254"/>
      <c r="L19" s="254"/>
      <c r="M19" s="254"/>
      <c r="N19" s="254"/>
      <c r="O19" s="254"/>
      <c r="P19" s="254"/>
      <c r="Q19" s="254"/>
      <c r="R19" s="254"/>
      <c r="S19" s="254"/>
      <c r="T19" s="255"/>
      <c r="U19" s="252"/>
    </row>
    <row r="20" spans="1:21" s="262" customFormat="1" ht="6" customHeight="1" thickBot="1" x14ac:dyDescent="0.25">
      <c r="A20" s="263"/>
      <c r="B20" s="264"/>
      <c r="C20" s="264"/>
      <c r="D20" s="264"/>
      <c r="E20" s="264"/>
      <c r="F20" s="264"/>
      <c r="G20" s="264"/>
      <c r="I20" s="253"/>
      <c r="J20" s="254"/>
      <c r="K20" s="254"/>
      <c r="L20" s="254"/>
      <c r="M20" s="254"/>
      <c r="N20" s="254"/>
      <c r="O20" s="254"/>
      <c r="P20" s="254"/>
      <c r="Q20" s="254"/>
      <c r="R20" s="254"/>
      <c r="S20" s="254"/>
      <c r="T20" s="255"/>
      <c r="U20" s="252"/>
    </row>
    <row r="21" spans="1:21" s="262" customFormat="1" x14ac:dyDescent="0.2">
      <c r="A21" s="250"/>
      <c r="B21" s="261"/>
      <c r="C21" s="261"/>
      <c r="D21" s="448" t="s">
        <v>60</v>
      </c>
      <c r="E21" s="448"/>
      <c r="F21" s="450">
        <f ca="1">NOW()</f>
        <v>46241.393698032407</v>
      </c>
      <c r="G21" s="451"/>
      <c r="I21" s="253"/>
      <c r="J21" s="254"/>
      <c r="K21" s="254"/>
      <c r="L21" s="254"/>
      <c r="M21" s="254"/>
      <c r="N21" s="254"/>
      <c r="O21" s="254"/>
      <c r="P21" s="254"/>
      <c r="Q21" s="254"/>
      <c r="R21" s="254"/>
      <c r="S21" s="254"/>
      <c r="T21" s="255"/>
      <c r="U21" s="252"/>
    </row>
    <row r="22" spans="1:21" s="262" customFormat="1" ht="17" thickBot="1" x14ac:dyDescent="0.25">
      <c r="A22" s="263"/>
      <c r="B22" s="264"/>
      <c r="C22" s="264"/>
      <c r="D22" s="449"/>
      <c r="E22" s="449"/>
      <c r="F22" s="452"/>
      <c r="G22" s="452"/>
      <c r="I22" s="265"/>
      <c r="J22" s="261"/>
      <c r="K22" s="261"/>
      <c r="L22" s="261"/>
      <c r="M22" s="261"/>
      <c r="N22" s="261"/>
      <c r="O22" s="261"/>
      <c r="P22" s="261"/>
      <c r="Q22" s="261"/>
      <c r="R22" s="261"/>
      <c r="S22" s="261"/>
      <c r="T22" s="266"/>
    </row>
    <row r="23" spans="1:21" s="262" customFormat="1" x14ac:dyDescent="0.2">
      <c r="A23" s="267"/>
      <c r="I23" s="265"/>
      <c r="J23" s="261"/>
      <c r="K23" s="261"/>
      <c r="L23" s="268"/>
      <c r="M23" s="268"/>
      <c r="N23" s="261"/>
      <c r="O23" s="261"/>
      <c r="P23" s="261"/>
      <c r="Q23" s="261"/>
      <c r="R23" s="261"/>
      <c r="S23" s="261"/>
      <c r="T23" s="266"/>
    </row>
    <row r="24" spans="1:21" s="262" customFormat="1" x14ac:dyDescent="0.2">
      <c r="A24" s="267"/>
      <c r="B24" s="267"/>
      <c r="C24" s="267"/>
      <c r="D24" s="267"/>
      <c r="E24" s="267"/>
      <c r="F24" s="267"/>
      <c r="G24" s="267"/>
      <c r="I24" s="265"/>
      <c r="J24" s="261"/>
      <c r="K24" s="261"/>
      <c r="L24" s="261"/>
      <c r="M24" s="261"/>
      <c r="N24" s="261"/>
      <c r="O24" s="261"/>
      <c r="P24" s="261"/>
      <c r="Q24" s="261"/>
      <c r="R24" s="261"/>
      <c r="S24" s="261"/>
      <c r="T24" s="266"/>
    </row>
    <row r="25" spans="1:21" s="272" customFormat="1" ht="18" x14ac:dyDescent="0.2">
      <c r="A25" s="269" t="s">
        <v>61</v>
      </c>
      <c r="B25" s="270" t="s">
        <v>62</v>
      </c>
      <c r="C25" s="270" t="s">
        <v>63</v>
      </c>
      <c r="D25" s="270" t="s">
        <v>64</v>
      </c>
      <c r="E25" s="270" t="s">
        <v>65</v>
      </c>
      <c r="F25" s="270" t="s">
        <v>66</v>
      </c>
      <c r="G25" s="271" t="s">
        <v>67</v>
      </c>
      <c r="I25" s="265"/>
      <c r="J25" s="261"/>
      <c r="K25" s="261"/>
      <c r="L25" s="261"/>
      <c r="M25" s="261"/>
      <c r="N25" s="261"/>
      <c r="O25" s="261"/>
      <c r="P25" s="261"/>
      <c r="Q25" s="261"/>
      <c r="R25" s="261"/>
      <c r="S25" s="261"/>
      <c r="T25" s="266"/>
      <c r="U25" s="262"/>
    </row>
    <row r="26" spans="1:21" s="71" customFormat="1" ht="18" x14ac:dyDescent="0.2">
      <c r="A26" s="273" t="s">
        <v>68</v>
      </c>
      <c r="B26" s="352">
        <v>0</v>
      </c>
      <c r="C26" s="274">
        <v>1000</v>
      </c>
      <c r="D26" s="274">
        <v>2000</v>
      </c>
      <c r="E26" s="274">
        <v>5000</v>
      </c>
      <c r="F26" s="274">
        <v>10000</v>
      </c>
      <c r="G26" s="275">
        <v>20000</v>
      </c>
      <c r="I26" s="265"/>
      <c r="J26" s="261"/>
      <c r="K26" s="261"/>
      <c r="L26" s="261"/>
      <c r="M26" s="261"/>
      <c r="N26" s="261"/>
      <c r="O26" s="261"/>
      <c r="P26" s="261"/>
      <c r="Q26" s="261"/>
      <c r="R26" s="261"/>
      <c r="S26" s="261"/>
      <c r="T26" s="266"/>
      <c r="U26" s="262"/>
    </row>
    <row r="27" spans="1:21" s="71" customFormat="1" ht="18" x14ac:dyDescent="0.2">
      <c r="A27" s="276" t="s">
        <v>69</v>
      </c>
      <c r="B27" s="277">
        <v>1000</v>
      </c>
      <c r="C27" s="278">
        <v>2000</v>
      </c>
      <c r="D27" s="278">
        <v>3000</v>
      </c>
      <c r="E27" s="278">
        <v>5000</v>
      </c>
      <c r="F27" s="278">
        <v>10000</v>
      </c>
      <c r="G27" s="279">
        <v>20000</v>
      </c>
      <c r="I27" s="265"/>
      <c r="J27" s="261"/>
      <c r="K27" s="261"/>
      <c r="L27" s="261"/>
      <c r="M27" s="261"/>
      <c r="N27" s="261"/>
      <c r="O27" s="261"/>
      <c r="P27" s="261"/>
      <c r="Q27" s="261"/>
      <c r="R27" s="261"/>
      <c r="S27" s="261"/>
      <c r="T27" s="266"/>
      <c r="U27" s="262"/>
    </row>
    <row r="28" spans="1:21" s="71" customFormat="1" ht="18" x14ac:dyDescent="0.2">
      <c r="A28" s="136"/>
      <c r="B28" s="280"/>
      <c r="C28" s="136"/>
      <c r="D28" s="136"/>
      <c r="E28" s="136"/>
      <c r="F28" s="136"/>
      <c r="G28" s="136"/>
      <c r="I28" s="265"/>
      <c r="J28" s="261"/>
      <c r="K28" s="261"/>
      <c r="L28" s="261"/>
      <c r="M28" s="261"/>
      <c r="N28" s="261"/>
      <c r="O28" s="261"/>
      <c r="P28" s="261"/>
      <c r="Q28" s="261"/>
      <c r="R28" s="261"/>
      <c r="S28" s="261"/>
      <c r="T28" s="266"/>
      <c r="U28" s="262"/>
    </row>
    <row r="29" spans="1:21" s="71" customFormat="1" ht="18" x14ac:dyDescent="0.2">
      <c r="A29" s="134"/>
      <c r="B29" s="281"/>
      <c r="C29" s="134"/>
      <c r="D29" s="134"/>
      <c r="E29" s="134"/>
      <c r="F29" s="134"/>
      <c r="G29" s="134"/>
      <c r="I29" s="282"/>
      <c r="J29" s="283"/>
      <c r="K29" s="283"/>
      <c r="L29" s="283"/>
      <c r="M29" s="283"/>
      <c r="N29" s="283"/>
      <c r="O29" s="283"/>
      <c r="P29" s="283"/>
      <c r="Q29" s="283"/>
      <c r="R29" s="283"/>
      <c r="S29" s="283"/>
      <c r="T29" s="284"/>
      <c r="U29" s="272"/>
    </row>
    <row r="30" spans="1:21" s="73" customFormat="1" ht="18" x14ac:dyDescent="0.15">
      <c r="A30" s="453" t="s">
        <v>70</v>
      </c>
      <c r="B30" s="454"/>
      <c r="C30" s="454"/>
      <c r="D30" s="454"/>
      <c r="E30" s="454"/>
      <c r="F30" s="454"/>
      <c r="G30" s="455"/>
      <c r="I30" s="16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164"/>
      <c r="U30" s="71"/>
    </row>
    <row r="31" spans="1:21" s="71" customFormat="1" ht="18" x14ac:dyDescent="0.15">
      <c r="A31" s="285" t="s">
        <v>71</v>
      </c>
      <c r="B31" s="286">
        <f>VLOOKUP($B$19,Tablas!$A$159:$I$182,3,TRUE)+75</f>
        <v>7599</v>
      </c>
      <c r="C31" s="286">
        <f>VLOOKUP($B$19,Tablas!$A$159:$I$182,4,TRUE)+75</f>
        <v>7371</v>
      </c>
      <c r="D31" s="286">
        <f>VLOOKUP($B$19,Tablas!$A$159:$I$182,5,TRUE)+75</f>
        <v>6084</v>
      </c>
      <c r="E31" s="286">
        <f>VLOOKUP($B$19,Tablas!$A$159:$I$182,6,TRUE)+75</f>
        <v>4813</v>
      </c>
      <c r="F31" s="286">
        <f>VLOOKUP($B$19,Tablas!$A$159:$I$182,7,TRUE)+75</f>
        <v>3354</v>
      </c>
      <c r="G31" s="286">
        <f>VLOOKUP($B$19,Tablas!$A$159:$I$182,8,TRUE)+75</f>
        <v>2576</v>
      </c>
      <c r="I31" s="16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164"/>
    </row>
    <row r="32" spans="1:21" s="71" customFormat="1" ht="18" x14ac:dyDescent="0.15">
      <c r="A32" s="285" t="s">
        <v>72</v>
      </c>
      <c r="B32" s="286">
        <f>IF($B$17=1,0,(VLOOKUP($G$19,Tablas!$A$159:$I$182,3,TRUE)))</f>
        <v>7524</v>
      </c>
      <c r="C32" s="286">
        <f>IF($B$17=1,0,(VLOOKUP($G$19,Tablas!$A$159:$I$182,4,TRUE)))</f>
        <v>7296</v>
      </c>
      <c r="D32" s="286">
        <f>IF($B$17=1,0,(VLOOKUP($G$19,Tablas!$A$159:$I$182,5,TRUE)))</f>
        <v>6009</v>
      </c>
      <c r="E32" s="286">
        <f>IF($B$17=1,0,(VLOOKUP($G$19,Tablas!$A$159:$I$182,6,TRUE)))</f>
        <v>4738</v>
      </c>
      <c r="F32" s="286">
        <f>IF($B$17=1,0,(VLOOKUP($G$19,Tablas!$A$159:$I$182,7,TRUE)))</f>
        <v>3279</v>
      </c>
      <c r="G32" s="286">
        <f>IF($B$17=1,0,(VLOOKUP($G$19,Tablas!$A$159:$I$182,8,TRUE)))</f>
        <v>2501</v>
      </c>
      <c r="I32" s="16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164"/>
    </row>
    <row r="33" spans="1:21" s="71" customFormat="1" ht="18" x14ac:dyDescent="0.15">
      <c r="A33" s="285" t="s">
        <v>73</v>
      </c>
      <c r="B33" s="286">
        <f>IF($G$17=0,0,(VLOOKUP($G$17,Tablas!$A$183:$I$185,3,TRUE)))</f>
        <v>1762</v>
      </c>
      <c r="C33" s="286">
        <f>IF($G$17=0,0,(VLOOKUP($G$17,Tablas!$A$183:$I$185,4,TRUE)))</f>
        <v>1751</v>
      </c>
      <c r="D33" s="286">
        <f>IF($G$17=0,0,(VLOOKUP($G$17,Tablas!$A$183:$I$185,5,TRUE)))</f>
        <v>1670</v>
      </c>
      <c r="E33" s="286">
        <f>IF($G$17=0,0,(VLOOKUP($G$17,Tablas!$A$183:$I$185,6,TRUE)))</f>
        <v>1209</v>
      </c>
      <c r="F33" s="286">
        <f>IF($G$17=0,0,(VLOOKUP($G$17,Tablas!$A$183:$I$185,7,TRUE)))</f>
        <v>983</v>
      </c>
      <c r="G33" s="286">
        <f>IF($G$17=0,0,(VLOOKUP($G$17,Tablas!$A$183:$I$185,8,TRUE)))</f>
        <v>739</v>
      </c>
      <c r="I33" s="16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164"/>
    </row>
    <row r="34" spans="1:21" s="71" customFormat="1" ht="18" x14ac:dyDescent="0.15">
      <c r="A34" s="287" t="s">
        <v>74</v>
      </c>
      <c r="B34" s="288">
        <f>+IF($B$1=FALSE,0,Tablas!C186)</f>
        <v>225</v>
      </c>
      <c r="C34" s="288">
        <f>+IF($B$1=FALSE,0,Tablas!D186)</f>
        <v>225</v>
      </c>
      <c r="D34" s="288">
        <f>+IF($B$1=FALSE,0,Tablas!E186)</f>
        <v>225</v>
      </c>
      <c r="E34" s="288">
        <f>+IF($B$1=FALSE,0,Tablas!F186)</f>
        <v>225</v>
      </c>
      <c r="F34" s="288">
        <f>+IF($B$1=FALSE,0,Tablas!G186)</f>
        <v>225</v>
      </c>
      <c r="G34" s="288">
        <f>+IF($B$1=FALSE,0,Tablas!H186)</f>
        <v>225</v>
      </c>
      <c r="I34" s="181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82"/>
      <c r="U34" s="73"/>
    </row>
    <row r="35" spans="1:21" s="71" customFormat="1" ht="18" x14ac:dyDescent="0.15">
      <c r="A35" s="287" t="s">
        <v>75</v>
      </c>
      <c r="B35" s="288">
        <f>+IF($C$1=FALSE,0,Tablas!C187)</f>
        <v>300</v>
      </c>
      <c r="C35" s="288">
        <f>+IF($C$1=FALSE,0,Tablas!D187)</f>
        <v>300</v>
      </c>
      <c r="D35" s="288">
        <f>+IF($C$1=FALSE,0,Tablas!E187)</f>
        <v>300</v>
      </c>
      <c r="E35" s="288">
        <f>+IF($C$1=FALSE,0,Tablas!F187)</f>
        <v>300</v>
      </c>
      <c r="F35" s="288">
        <f>+IF($C$1=FALSE,0,Tablas!G187)</f>
        <v>300</v>
      </c>
      <c r="G35" s="288">
        <f>+IF($C$1=FALSE,0,Tablas!H187)</f>
        <v>300</v>
      </c>
      <c r="I35" s="16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164"/>
    </row>
    <row r="36" spans="1:21" s="73" customFormat="1" ht="18" x14ac:dyDescent="0.15">
      <c r="A36" s="289" t="s">
        <v>76</v>
      </c>
      <c r="B36" s="290">
        <f t="shared" ref="B36" si="0">SUM(B31:B35)</f>
        <v>17410</v>
      </c>
      <c r="C36" s="290">
        <f t="shared" ref="C36:G36" si="1">SUM(C31:C35)</f>
        <v>16943</v>
      </c>
      <c r="D36" s="290">
        <f t="shared" si="1"/>
        <v>14288</v>
      </c>
      <c r="E36" s="290">
        <f t="shared" si="1"/>
        <v>11285</v>
      </c>
      <c r="F36" s="290">
        <f t="shared" si="1"/>
        <v>8141</v>
      </c>
      <c r="G36" s="291">
        <f t="shared" si="1"/>
        <v>6341</v>
      </c>
      <c r="I36" s="16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164"/>
      <c r="U36" s="71"/>
    </row>
    <row r="37" spans="1:21" s="71" customFormat="1" ht="18" x14ac:dyDescent="0.15">
      <c r="A37" s="292" t="s">
        <v>77</v>
      </c>
      <c r="B37" s="293">
        <f>B36*3.5%</f>
        <v>609.35</v>
      </c>
      <c r="C37" s="293">
        <f t="shared" ref="C37:G37" si="2">C36*3.5%</f>
        <v>593.00500000000011</v>
      </c>
      <c r="D37" s="293">
        <f t="shared" si="2"/>
        <v>500.08000000000004</v>
      </c>
      <c r="E37" s="293">
        <f t="shared" si="2"/>
        <v>394.97500000000002</v>
      </c>
      <c r="F37" s="293">
        <f t="shared" si="2"/>
        <v>284.935</v>
      </c>
      <c r="G37" s="293">
        <f t="shared" si="2"/>
        <v>221.93500000000003</v>
      </c>
      <c r="I37" s="16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164"/>
    </row>
    <row r="38" spans="1:21" s="71" customFormat="1" ht="18" x14ac:dyDescent="0.15">
      <c r="A38" s="292" t="s">
        <v>78</v>
      </c>
      <c r="B38" s="293">
        <f>B36*0.5%</f>
        <v>87.05</v>
      </c>
      <c r="C38" s="293">
        <f t="shared" ref="C38:G38" si="3">C36*0.5%</f>
        <v>84.715000000000003</v>
      </c>
      <c r="D38" s="293">
        <f t="shared" si="3"/>
        <v>71.44</v>
      </c>
      <c r="E38" s="293">
        <f t="shared" si="3"/>
        <v>56.425000000000004</v>
      </c>
      <c r="F38" s="293">
        <f t="shared" si="3"/>
        <v>40.704999999999998</v>
      </c>
      <c r="G38" s="293">
        <f t="shared" si="3"/>
        <v>31.705000000000002</v>
      </c>
      <c r="I38" s="16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164"/>
    </row>
    <row r="39" spans="1:21" s="71" customFormat="1" ht="18" x14ac:dyDescent="0.15">
      <c r="A39" s="294" t="s">
        <v>79</v>
      </c>
      <c r="B39" s="295">
        <f>SUM(B36:B38)</f>
        <v>18106.399999999998</v>
      </c>
      <c r="C39" s="295">
        <f t="shared" ref="C39:F39" si="4">SUM(C36:C38)</f>
        <v>17620.72</v>
      </c>
      <c r="D39" s="295">
        <f t="shared" si="4"/>
        <v>14859.52</v>
      </c>
      <c r="E39" s="295">
        <f t="shared" si="4"/>
        <v>11736.4</v>
      </c>
      <c r="F39" s="295">
        <f t="shared" si="4"/>
        <v>8466.64</v>
      </c>
      <c r="G39" s="295">
        <f>SUM(G36:G38)</f>
        <v>6594.64</v>
      </c>
      <c r="I39" s="16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164"/>
    </row>
    <row r="40" spans="1:21" s="71" customFormat="1" ht="18" x14ac:dyDescent="0.15">
      <c r="A40" s="296"/>
      <c r="B40" s="297"/>
      <c r="C40" s="298"/>
      <c r="D40" s="298"/>
      <c r="E40" s="298"/>
      <c r="F40" s="298"/>
      <c r="G40" s="298"/>
      <c r="I40" s="16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164"/>
    </row>
    <row r="41" spans="1:21" s="71" customFormat="1" ht="18" x14ac:dyDescent="0.15">
      <c r="A41" s="134"/>
      <c r="B41" s="281"/>
      <c r="C41" s="134"/>
      <c r="D41" s="134"/>
      <c r="E41" s="134"/>
      <c r="F41" s="134"/>
      <c r="G41" s="134"/>
      <c r="I41" s="181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2"/>
      <c r="U41" s="73"/>
    </row>
    <row r="42" spans="1:21" s="71" customFormat="1" ht="18" x14ac:dyDescent="0.15">
      <c r="A42" s="453" t="s">
        <v>80</v>
      </c>
      <c r="B42" s="454"/>
      <c r="C42" s="454"/>
      <c r="D42" s="454"/>
      <c r="E42" s="454"/>
      <c r="F42" s="454"/>
      <c r="G42" s="455"/>
      <c r="I42" s="16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164"/>
    </row>
    <row r="43" spans="1:21" s="73" customFormat="1" ht="18" x14ac:dyDescent="0.15">
      <c r="A43" s="285" t="s">
        <v>71</v>
      </c>
      <c r="B43" s="286">
        <f>($B$31-75)*Tablas!$M$5+75</f>
        <v>4062.7200000000003</v>
      </c>
      <c r="C43" s="286">
        <f>($C$31-75)*Tablas!$M$5+75</f>
        <v>3941.88</v>
      </c>
      <c r="D43" s="286">
        <f>($D$31-75)*Tablas!$M$5+75</f>
        <v>3259.77</v>
      </c>
      <c r="E43" s="286">
        <f>($E$31-75)*Tablas!$M$5+75</f>
        <v>2586.1400000000003</v>
      </c>
      <c r="F43" s="286">
        <f>($F$31-75)*Tablas!$M$5+75</f>
        <v>1812.8700000000001</v>
      </c>
      <c r="G43" s="286">
        <f>($G$31-75)*Tablas!$M$5+75</f>
        <v>1400.53</v>
      </c>
      <c r="I43" s="16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164"/>
      <c r="U43" s="71"/>
    </row>
    <row r="44" spans="1:21" s="71" customFormat="1" ht="18" x14ac:dyDescent="0.15">
      <c r="A44" s="285" t="s">
        <v>72</v>
      </c>
      <c r="B44" s="286">
        <f>IF($B$17=1,0,$B$32*Tablas!$M$5)</f>
        <v>3987.7200000000003</v>
      </c>
      <c r="C44" s="286">
        <f>IF($B$17=1,0,$C$32*Tablas!$M$5)</f>
        <v>3866.88</v>
      </c>
      <c r="D44" s="286">
        <f>IF($B$17=1,0,$D$32*Tablas!$M$5)</f>
        <v>3184.77</v>
      </c>
      <c r="E44" s="286">
        <f>IF($B$17=1,0,$E$32*Tablas!$M$5)</f>
        <v>2511.1400000000003</v>
      </c>
      <c r="F44" s="286">
        <f>IF($B$17=1,0,$F$32*Tablas!$M$5)</f>
        <v>1737.8700000000001</v>
      </c>
      <c r="G44" s="286">
        <f>IF($B$17=1,0,$G$32*Tablas!$M$5)</f>
        <v>1325.53</v>
      </c>
      <c r="I44" s="16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164"/>
    </row>
    <row r="45" spans="1:21" s="73" customFormat="1" ht="18" x14ac:dyDescent="0.15">
      <c r="A45" s="285" t="s">
        <v>73</v>
      </c>
      <c r="B45" s="286">
        <f>IF($G$17=0,0,$B$33*Tablas!$M$5)</f>
        <v>933.86</v>
      </c>
      <c r="C45" s="286">
        <f>IF($G$17=0,0,$C$33*Tablas!$M$5)</f>
        <v>928.03000000000009</v>
      </c>
      <c r="D45" s="286">
        <f>IF($G$17=0,0,$D$33*Tablas!$M$5)</f>
        <v>885.1</v>
      </c>
      <c r="E45" s="286">
        <f>IF($G$17=0,0,$E$33*Tablas!$M$5)</f>
        <v>640.77</v>
      </c>
      <c r="F45" s="286">
        <f>IF($G$17=0,0,$F$33*Tablas!$M$5)</f>
        <v>520.99</v>
      </c>
      <c r="G45" s="286">
        <f>IF($G$17=0,0,$G$33*Tablas!$M$5)</f>
        <v>391.67</v>
      </c>
      <c r="I45" s="16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164"/>
      <c r="U45" s="71"/>
    </row>
    <row r="46" spans="1:21" s="71" customFormat="1" ht="18" x14ac:dyDescent="0.15">
      <c r="A46" s="287" t="s">
        <v>74</v>
      </c>
      <c r="B46" s="288">
        <f>+IF($B$1=FALSE,0,$B$34*Tablas!$M$5)</f>
        <v>119.25</v>
      </c>
      <c r="C46" s="288">
        <f>+IF($B$1=FALSE,0,$C$34*Tablas!$M$5)</f>
        <v>119.25</v>
      </c>
      <c r="D46" s="288">
        <f>+IF($B$1=FALSE,0,$D$34*Tablas!$M$5)</f>
        <v>119.25</v>
      </c>
      <c r="E46" s="288">
        <f>+IF($B$1=FALSE,0,$E$34*Tablas!$M$5)</f>
        <v>119.25</v>
      </c>
      <c r="F46" s="288">
        <f>+IF($B$1=FALSE,0,$F$34*Tablas!$M$5)</f>
        <v>119.25</v>
      </c>
      <c r="G46" s="288">
        <f>+IF($B$1=FALSE,0,$G$34*Tablas!$M$5)</f>
        <v>119.25</v>
      </c>
      <c r="I46" s="16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164"/>
    </row>
    <row r="47" spans="1:21" s="71" customFormat="1" ht="18" x14ac:dyDescent="0.2">
      <c r="A47" s="287" t="s">
        <v>75</v>
      </c>
      <c r="B47" s="288">
        <f>+IF($C$1=FALSE,0,$B$35*Tablas!$M$5)</f>
        <v>159</v>
      </c>
      <c r="C47" s="288">
        <f>+IF($C$1=FALSE,0,$C$35*Tablas!$M$5)</f>
        <v>159</v>
      </c>
      <c r="D47" s="288">
        <f>+IF($C$1=FALSE,0,$D$35*Tablas!$M$5)</f>
        <v>159</v>
      </c>
      <c r="E47" s="288">
        <f>+IF($C$1=FALSE,0,$E$35*Tablas!$M$5)</f>
        <v>159</v>
      </c>
      <c r="F47" s="288">
        <f>+IF($C$1=FALSE,0,$F$35*Tablas!$M$5)</f>
        <v>159</v>
      </c>
      <c r="G47" s="288">
        <f>+IF($C$1=FALSE,0,$G$35*Tablas!$M$5)</f>
        <v>159</v>
      </c>
      <c r="I47" s="181"/>
      <c r="J47" s="180"/>
      <c r="K47" s="180"/>
      <c r="L47" s="180"/>
      <c r="M47" s="180"/>
      <c r="N47" s="268"/>
      <c r="O47" s="268"/>
      <c r="P47" s="268"/>
      <c r="Q47" s="268"/>
      <c r="R47" s="268"/>
      <c r="S47" s="268"/>
      <c r="T47" s="299"/>
      <c r="U47" s="300"/>
    </row>
    <row r="48" spans="1:21" s="71" customFormat="1" ht="18" x14ac:dyDescent="0.2">
      <c r="A48" s="301" t="s">
        <v>76</v>
      </c>
      <c r="B48" s="290">
        <f t="shared" ref="B48" si="5">SUM(B43:B47)</f>
        <v>9262.5500000000011</v>
      </c>
      <c r="C48" s="290">
        <f t="shared" ref="C48:G48" si="6">SUM(C43:C47)</f>
        <v>9015.0400000000009</v>
      </c>
      <c r="D48" s="290">
        <f t="shared" si="6"/>
        <v>7607.89</v>
      </c>
      <c r="E48" s="290">
        <f t="shared" si="6"/>
        <v>6016.3000000000011</v>
      </c>
      <c r="F48" s="290">
        <f t="shared" si="6"/>
        <v>4349.9800000000005</v>
      </c>
      <c r="G48" s="291">
        <f t="shared" si="6"/>
        <v>3395.98</v>
      </c>
      <c r="I48" s="165"/>
      <c r="J48" s="85"/>
      <c r="K48" s="85"/>
      <c r="L48" s="85"/>
      <c r="M48" s="85"/>
      <c r="N48" s="254"/>
      <c r="O48" s="254"/>
      <c r="P48" s="254"/>
      <c r="Q48" s="254"/>
      <c r="R48" s="254"/>
      <c r="S48" s="254"/>
      <c r="T48" s="255"/>
      <c r="U48" s="252"/>
    </row>
    <row r="49" spans="1:21" s="71" customFormat="1" ht="18" x14ac:dyDescent="0.15">
      <c r="A49" s="292" t="s">
        <v>77</v>
      </c>
      <c r="B49" s="302">
        <f>B48*3.5%</f>
        <v>324.18925000000007</v>
      </c>
      <c r="C49" s="302">
        <f t="shared" ref="C49:G49" si="7">C48*3.5%</f>
        <v>315.52640000000008</v>
      </c>
      <c r="D49" s="302">
        <f t="shared" si="7"/>
        <v>266.27615000000003</v>
      </c>
      <c r="E49" s="302">
        <f t="shared" si="7"/>
        <v>210.57050000000007</v>
      </c>
      <c r="F49" s="302">
        <f t="shared" si="7"/>
        <v>152.24930000000003</v>
      </c>
      <c r="G49" s="302">
        <f t="shared" si="7"/>
        <v>118.85930000000002</v>
      </c>
      <c r="I49" s="181"/>
      <c r="J49" s="180"/>
      <c r="K49" s="180"/>
      <c r="L49" s="180"/>
      <c r="M49" s="180"/>
      <c r="N49" s="303"/>
      <c r="O49" s="303"/>
      <c r="P49" s="303"/>
      <c r="Q49" s="303"/>
      <c r="R49" s="303"/>
      <c r="S49" s="303"/>
      <c r="T49" s="304"/>
      <c r="U49" s="305"/>
    </row>
    <row r="50" spans="1:21" s="71" customFormat="1" ht="19" thickBot="1" x14ac:dyDescent="0.2">
      <c r="A50" s="292" t="s">
        <v>78</v>
      </c>
      <c r="B50" s="302">
        <f>B48*0.5%</f>
        <v>46.312750000000008</v>
      </c>
      <c r="C50" s="302">
        <f t="shared" ref="C50:G50" si="8">C48*0.5%</f>
        <v>45.075200000000002</v>
      </c>
      <c r="D50" s="302">
        <f t="shared" si="8"/>
        <v>38.039450000000002</v>
      </c>
      <c r="E50" s="302">
        <f t="shared" si="8"/>
        <v>30.081500000000005</v>
      </c>
      <c r="F50" s="302">
        <f t="shared" si="8"/>
        <v>21.749900000000004</v>
      </c>
      <c r="G50" s="302">
        <f t="shared" si="8"/>
        <v>16.979900000000001</v>
      </c>
      <c r="I50" s="181"/>
      <c r="J50" s="180"/>
      <c r="K50" s="180"/>
      <c r="L50" s="180"/>
      <c r="M50" s="180"/>
      <c r="N50" s="303"/>
      <c r="O50" s="303"/>
      <c r="P50" s="303"/>
      <c r="Q50" s="303"/>
      <c r="R50" s="303"/>
      <c r="S50" s="303"/>
      <c r="T50" s="304"/>
      <c r="U50" s="305"/>
    </row>
    <row r="51" spans="1:21" s="71" customFormat="1" ht="19" thickBot="1" x14ac:dyDescent="0.2">
      <c r="A51" s="143" t="s">
        <v>81</v>
      </c>
      <c r="B51" s="370">
        <f>SUM(B48:B50)</f>
        <v>9633.0519999999997</v>
      </c>
      <c r="C51" s="370">
        <f t="shared" ref="C51:F51" si="9">SUM(C48:C50)</f>
        <v>9375.6416000000008</v>
      </c>
      <c r="D51" s="370">
        <f t="shared" si="9"/>
        <v>7912.2056000000002</v>
      </c>
      <c r="E51" s="370">
        <f t="shared" si="9"/>
        <v>6256.9520000000011</v>
      </c>
      <c r="F51" s="370">
        <f t="shared" si="9"/>
        <v>4523.9792000000007</v>
      </c>
      <c r="G51" s="370">
        <f>SUM(G48:G50)</f>
        <v>3531.8191999999999</v>
      </c>
      <c r="I51" s="16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164"/>
      <c r="U51" s="305"/>
    </row>
    <row r="52" spans="1:21" s="73" customFormat="1" ht="19" thickBot="1" x14ac:dyDescent="0.2">
      <c r="A52" s="145" t="s">
        <v>82</v>
      </c>
      <c r="B52" s="371">
        <f>(B48+B49+B50)*1-78</f>
        <v>9555.0519999999997</v>
      </c>
      <c r="C52" s="371">
        <f t="shared" ref="C52:F52" si="10">(C48+C49+C50)*1-78</f>
        <v>9297.6416000000008</v>
      </c>
      <c r="D52" s="371">
        <f t="shared" si="10"/>
        <v>7834.2056000000002</v>
      </c>
      <c r="E52" s="371">
        <f t="shared" si="10"/>
        <v>6178.9520000000011</v>
      </c>
      <c r="F52" s="371">
        <f t="shared" si="10"/>
        <v>4445.9792000000007</v>
      </c>
      <c r="G52" s="371">
        <f>(G48+G49+G50)*1-78</f>
        <v>3453.8191999999999</v>
      </c>
      <c r="I52" s="16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164"/>
      <c r="U52" s="71"/>
    </row>
    <row r="53" spans="1:21" s="73" customFormat="1" ht="18" x14ac:dyDescent="0.15">
      <c r="A53" s="368" t="s">
        <v>83</v>
      </c>
      <c r="B53" s="369">
        <f>SUM(B51:B52)</f>
        <v>19188.103999999999</v>
      </c>
      <c r="C53" s="369">
        <f t="shared" ref="C53:G53" si="11">SUM(C51:C52)</f>
        <v>18673.283200000002</v>
      </c>
      <c r="D53" s="369">
        <f t="shared" si="11"/>
        <v>15746.4112</v>
      </c>
      <c r="E53" s="369">
        <f t="shared" si="11"/>
        <v>12435.904000000002</v>
      </c>
      <c r="F53" s="369">
        <f t="shared" si="11"/>
        <v>8969.9584000000013</v>
      </c>
      <c r="G53" s="369">
        <f t="shared" si="11"/>
        <v>6985.6383999999998</v>
      </c>
      <c r="I53" s="185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4"/>
      <c r="U53" s="71"/>
    </row>
    <row r="54" spans="1:21" s="73" customFormat="1" ht="18" x14ac:dyDescent="0.15">
      <c r="A54" s="296"/>
      <c r="B54" s="297"/>
      <c r="C54" s="298"/>
      <c r="D54" s="298"/>
      <c r="E54" s="298"/>
      <c r="F54" s="298"/>
      <c r="G54" s="298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71"/>
    </row>
    <row r="55" spans="1:21" s="73" customFormat="1" ht="18" x14ac:dyDescent="0.15">
      <c r="A55" s="134"/>
      <c r="B55" s="281"/>
      <c r="C55" s="134"/>
      <c r="D55" s="134"/>
      <c r="E55" s="134"/>
      <c r="F55" s="134"/>
      <c r="G55" s="134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71"/>
    </row>
    <row r="56" spans="1:21" s="71" customFormat="1" ht="18" x14ac:dyDescent="0.15">
      <c r="A56" s="453" t="s">
        <v>84</v>
      </c>
      <c r="B56" s="454"/>
      <c r="C56" s="454"/>
      <c r="D56" s="454"/>
      <c r="E56" s="454"/>
      <c r="F56" s="454"/>
      <c r="G56" s="455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</row>
    <row r="57" spans="1:21" s="71" customFormat="1" ht="18" x14ac:dyDescent="0.15">
      <c r="A57" s="285" t="s">
        <v>71</v>
      </c>
      <c r="B57" s="286">
        <f>($B$31-75)*Tablas!$M$6+75</f>
        <v>2144.1000000000004</v>
      </c>
      <c r="C57" s="286">
        <f>($C$31-75)*Tablas!$M$6+75</f>
        <v>2081.4</v>
      </c>
      <c r="D57" s="286">
        <f>($D$31-75)*Tablas!$M$6+75</f>
        <v>1727.4750000000001</v>
      </c>
      <c r="E57" s="286">
        <f>($E$31-75)*Tablas!$M$6+75</f>
        <v>1377.95</v>
      </c>
      <c r="F57" s="286">
        <f>($F$31-75)*Tablas!$M$6+75</f>
        <v>976.72500000000002</v>
      </c>
      <c r="G57" s="286">
        <f>($G$31-75)*Tablas!$M$6+75</f>
        <v>762.77500000000009</v>
      </c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</row>
    <row r="58" spans="1:21" s="71" customFormat="1" ht="18" x14ac:dyDescent="0.2">
      <c r="A58" s="285" t="s">
        <v>72</v>
      </c>
      <c r="B58" s="286">
        <f>IF($B$17=1,0,$B$32*Tablas!$M$6)</f>
        <v>2069.1000000000004</v>
      </c>
      <c r="C58" s="286">
        <f>IF($B$17=1,0,$C$32*Tablas!$M$9)</f>
        <v>19188480</v>
      </c>
      <c r="D58" s="286">
        <f>IF($B$17=1,0,$D$32*Tablas!$M$6)</f>
        <v>1652.4750000000001</v>
      </c>
      <c r="E58" s="286">
        <f>IF($B$17=1,0,$E$32*Tablas!$M$6)</f>
        <v>1302.95</v>
      </c>
      <c r="F58" s="286">
        <f>IF($B$17=1,0,$F$32*Tablas!$M$6)</f>
        <v>901.72500000000002</v>
      </c>
      <c r="G58" s="286">
        <f>IF($B$17=1,0,$G$32*Tablas!$M$6)</f>
        <v>687.77500000000009</v>
      </c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306"/>
    </row>
    <row r="59" spans="1:21" s="71" customFormat="1" ht="18" x14ac:dyDescent="0.2">
      <c r="A59" s="285" t="s">
        <v>73</v>
      </c>
      <c r="B59" s="286">
        <f>IF($G$17=0,0,$B$33*Tablas!$M$6)</f>
        <v>484.55</v>
      </c>
      <c r="C59" s="286">
        <f>IF($G$17=0,0,$C$33*Tablas!$M$6)</f>
        <v>481.52500000000003</v>
      </c>
      <c r="D59" s="286">
        <f>IF($G$17=0,0,$D$33*Tablas!$M$6)</f>
        <v>459.25000000000006</v>
      </c>
      <c r="E59" s="286">
        <f>IF($G$17=0,0,$E$33*Tablas!$M$6)</f>
        <v>332.47500000000002</v>
      </c>
      <c r="F59" s="286">
        <f>IF($G$17=0,0,$F$33*Tablas!$M$6)</f>
        <v>270.32500000000005</v>
      </c>
      <c r="G59" s="286">
        <f>IF($G$17=0,0,$G$33*Tablas!$M$6)</f>
        <v>203.22500000000002</v>
      </c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306"/>
    </row>
    <row r="60" spans="1:21" s="73" customFormat="1" ht="18" x14ac:dyDescent="0.15">
      <c r="A60" s="287" t="s">
        <v>74</v>
      </c>
      <c r="B60" s="288">
        <f>+IF($B$1=FALSE,0,$B$34*Tablas!$M$6)</f>
        <v>61.875000000000007</v>
      </c>
      <c r="C60" s="288">
        <f>+IF($B$1=FALSE,0,$C$34*Tablas!$M$6)</f>
        <v>61.875000000000007</v>
      </c>
      <c r="D60" s="288">
        <f>+IF($B$1=FALSE,0,$D$34*Tablas!$M$6)</f>
        <v>61.875000000000007</v>
      </c>
      <c r="E60" s="288">
        <f>+IF($B$1=FALSE,0,$E$34*Tablas!$M$6)</f>
        <v>61.875000000000007</v>
      </c>
      <c r="F60" s="288">
        <f>+IF($B$1=FALSE,0,$F$34*Tablas!$M$6)</f>
        <v>61.875000000000007</v>
      </c>
      <c r="G60" s="288">
        <f>+IF($B$1=FALSE,0,$G$34*Tablas!$M$6)</f>
        <v>61.875000000000007</v>
      </c>
    </row>
    <row r="61" spans="1:21" s="73" customFormat="1" ht="18" x14ac:dyDescent="0.15">
      <c r="A61" s="287" t="s">
        <v>75</v>
      </c>
      <c r="B61" s="288">
        <f>+IF($C$1=FALSE,0,$B$35*Tablas!$M$6)</f>
        <v>82.5</v>
      </c>
      <c r="C61" s="288">
        <f>+IF($C$1=FALSE,0,$C$35*Tablas!$M$6)</f>
        <v>82.5</v>
      </c>
      <c r="D61" s="288">
        <f>+IF($C$1=FALSE,0,$D$35*Tablas!$M$6)</f>
        <v>82.5</v>
      </c>
      <c r="E61" s="288">
        <f>+IF($C$1=FALSE,0,$E$35*Tablas!$M$6)</f>
        <v>82.5</v>
      </c>
      <c r="F61" s="288">
        <f>+IF($C$1=FALSE,0,$F$35*Tablas!$M$6)</f>
        <v>82.5</v>
      </c>
      <c r="G61" s="288">
        <f>+IF($C$1=FALSE,0,$G$35*Tablas!$M$6)</f>
        <v>82.5</v>
      </c>
    </row>
    <row r="62" spans="1:21" ht="18" x14ac:dyDescent="0.2">
      <c r="A62" s="301" t="s">
        <v>76</v>
      </c>
      <c r="B62" s="290">
        <f>SUM(B57:B61)</f>
        <v>4842.1250000000009</v>
      </c>
      <c r="C62" s="290">
        <f t="shared" ref="C62:G62" si="12">SUM(C57:C61)</f>
        <v>19191187.299999997</v>
      </c>
      <c r="D62" s="290">
        <f t="shared" si="12"/>
        <v>3983.5750000000003</v>
      </c>
      <c r="E62" s="290">
        <f t="shared" si="12"/>
        <v>3157.75</v>
      </c>
      <c r="F62" s="290">
        <f t="shared" si="12"/>
        <v>2293.15</v>
      </c>
      <c r="G62" s="291">
        <f t="shared" si="12"/>
        <v>1798.15</v>
      </c>
    </row>
    <row r="63" spans="1:21" ht="18" x14ac:dyDescent="0.2">
      <c r="A63" s="292" t="s">
        <v>77</v>
      </c>
      <c r="B63" s="302">
        <f>B62*3.5%</f>
        <v>169.47437500000004</v>
      </c>
      <c r="C63" s="302">
        <f t="shared" ref="C63:G63" si="13">C62*3.5%</f>
        <v>671691.55550000002</v>
      </c>
      <c r="D63" s="302">
        <f t="shared" si="13"/>
        <v>139.42512500000004</v>
      </c>
      <c r="E63" s="302">
        <f t="shared" si="13"/>
        <v>110.52125000000001</v>
      </c>
      <c r="F63" s="302">
        <f t="shared" si="13"/>
        <v>80.260250000000013</v>
      </c>
      <c r="G63" s="302">
        <f t="shared" si="13"/>
        <v>62.935250000000011</v>
      </c>
    </row>
    <row r="64" spans="1:21" ht="19" thickBot="1" x14ac:dyDescent="0.25">
      <c r="A64" s="292" t="s">
        <v>78</v>
      </c>
      <c r="B64" s="302">
        <f>B62*0.5%</f>
        <v>24.210625000000004</v>
      </c>
      <c r="C64" s="302">
        <f t="shared" ref="C64:G64" si="14">C62*0.5%</f>
        <v>95955.936499999982</v>
      </c>
      <c r="D64" s="302">
        <f t="shared" si="14"/>
        <v>19.917875000000002</v>
      </c>
      <c r="E64" s="302">
        <f t="shared" si="14"/>
        <v>15.78875</v>
      </c>
      <c r="F64" s="302">
        <f t="shared" si="14"/>
        <v>11.46575</v>
      </c>
      <c r="G64" s="302">
        <f t="shared" si="14"/>
        <v>8.9907500000000002</v>
      </c>
    </row>
    <row r="65" spans="1:7" ht="19" thickBot="1" x14ac:dyDescent="0.25">
      <c r="A65" s="143" t="s">
        <v>81</v>
      </c>
      <c r="B65" s="370">
        <f>SUM(B62:B64)</f>
        <v>5035.8100000000004</v>
      </c>
      <c r="C65" s="370">
        <f t="shared" ref="C65:F65" si="15">SUM(C62:C64)</f>
        <v>19958834.791999999</v>
      </c>
      <c r="D65" s="370">
        <f t="shared" si="15"/>
        <v>4142.9180000000006</v>
      </c>
      <c r="E65" s="370">
        <f t="shared" si="15"/>
        <v>3284.06</v>
      </c>
      <c r="F65" s="370">
        <f t="shared" si="15"/>
        <v>2384.8759999999997</v>
      </c>
      <c r="G65" s="370">
        <f>SUM(G62:G64)</f>
        <v>1870.076</v>
      </c>
    </row>
    <row r="66" spans="1:7" ht="19" thickBot="1" x14ac:dyDescent="0.25">
      <c r="A66" s="145" t="s">
        <v>85</v>
      </c>
      <c r="B66" s="371">
        <f>(B62+B63+B64)*1-78</f>
        <v>4957.8100000000004</v>
      </c>
      <c r="C66" s="371">
        <f t="shared" ref="C66:F66" si="16">(C62+C63+C64)*1-78</f>
        <v>19958756.791999999</v>
      </c>
      <c r="D66" s="371">
        <f t="shared" si="16"/>
        <v>4064.9180000000006</v>
      </c>
      <c r="E66" s="371">
        <f t="shared" si="16"/>
        <v>3206.06</v>
      </c>
      <c r="F66" s="371">
        <f t="shared" si="16"/>
        <v>2306.8759999999997</v>
      </c>
      <c r="G66" s="371">
        <f>(G62+G63+G64)*1-78</f>
        <v>1792.076</v>
      </c>
    </row>
    <row r="67" spans="1:7" ht="18" x14ac:dyDescent="0.2">
      <c r="A67" s="368" t="s">
        <v>83</v>
      </c>
      <c r="B67" s="369">
        <f>B65+B66*3</f>
        <v>19909.240000000002</v>
      </c>
      <c r="C67" s="369">
        <f t="shared" ref="C67:G67" si="17">C65+C66*3</f>
        <v>79835105.167999998</v>
      </c>
      <c r="D67" s="369">
        <f t="shared" si="17"/>
        <v>16337.672000000002</v>
      </c>
      <c r="E67" s="369">
        <f t="shared" si="17"/>
        <v>12902.24</v>
      </c>
      <c r="F67" s="369">
        <f t="shared" si="17"/>
        <v>9305.503999999999</v>
      </c>
      <c r="G67" s="369">
        <f t="shared" si="17"/>
        <v>7246.3040000000001</v>
      </c>
    </row>
    <row r="68" spans="1:7" ht="18" x14ac:dyDescent="0.2">
      <c r="A68" s="296"/>
      <c r="B68" s="297"/>
      <c r="C68" s="298"/>
      <c r="D68" s="298"/>
      <c r="E68" s="298"/>
      <c r="F68" s="298"/>
      <c r="G68" s="298"/>
    </row>
    <row r="69" spans="1:7" ht="18" x14ac:dyDescent="0.2">
      <c r="A69" s="134"/>
      <c r="B69" s="281"/>
      <c r="C69" s="134"/>
      <c r="D69" s="134"/>
      <c r="E69" s="134"/>
      <c r="F69" s="134"/>
      <c r="G69" s="134"/>
    </row>
    <row r="70" spans="1:7" ht="18" x14ac:dyDescent="0.2">
      <c r="A70" s="453" t="s">
        <v>86</v>
      </c>
      <c r="B70" s="454"/>
      <c r="C70" s="454"/>
      <c r="D70" s="454"/>
      <c r="E70" s="454"/>
      <c r="F70" s="454"/>
      <c r="G70" s="455"/>
    </row>
    <row r="71" spans="1:7" ht="15.5" customHeight="1" x14ac:dyDescent="0.2">
      <c r="A71" s="285" t="s">
        <v>71</v>
      </c>
      <c r="B71" s="286">
        <f>($B$31-75)*Tablas!$M$7+75</f>
        <v>777.21492000000001</v>
      </c>
      <c r="C71" s="286">
        <f>($C$31-75)*Tablas!$M$7+75</f>
        <v>755.93567999999993</v>
      </c>
      <c r="D71" s="286">
        <f>($D$31-75)*Tablas!$M$7+75</f>
        <v>635.81997000000001</v>
      </c>
      <c r="E71" s="286">
        <f>($E$31-75)*Tablas!$M$7+75</f>
        <v>517.19754</v>
      </c>
      <c r="F71" s="286">
        <f>($F$31-75)*Tablas!$M$7+75</f>
        <v>381.02906999999999</v>
      </c>
      <c r="G71" s="286">
        <f>($G$31-75)*Tablas!$M$7+75</f>
        <v>308.41832999999997</v>
      </c>
    </row>
    <row r="72" spans="1:7" ht="18" x14ac:dyDescent="0.2">
      <c r="A72" s="285" t="s">
        <v>72</v>
      </c>
      <c r="B72" s="286">
        <f>IF($B$17=1,0,$B$32*Tablas!$M$7)</f>
        <v>702.21492000000001</v>
      </c>
      <c r="C72" s="286">
        <f>IF($B$17=1,0,$C$32*Tablas!$M$7)</f>
        <v>680.93567999999993</v>
      </c>
      <c r="D72" s="286">
        <f>IF($B$17=1,0,$D$32*Tablas!$M$7)</f>
        <v>560.81997000000001</v>
      </c>
      <c r="E72" s="286">
        <f>IF($B$17=1,0,$E$32*Tablas!$M$7)</f>
        <v>442.19754</v>
      </c>
      <c r="F72" s="286">
        <f>IF($B$17=1,0,$F$32*Tablas!$M$7)</f>
        <v>306.02906999999999</v>
      </c>
      <c r="G72" s="286">
        <f>IF($B$17=1,0,$G$32*Tablas!$M$7)</f>
        <v>233.41833</v>
      </c>
    </row>
    <row r="73" spans="1:7" ht="18" x14ac:dyDescent="0.2">
      <c r="A73" s="285" t="s">
        <v>73</v>
      </c>
      <c r="B73" s="286">
        <f>IF($G$17=0,0,$B$33*Tablas!$M$7)</f>
        <v>164.44746000000001</v>
      </c>
      <c r="C73" s="286">
        <f>IF($G$17=0,0,$C$33*Tablas!$M$7)</f>
        <v>163.42083</v>
      </c>
      <c r="D73" s="286">
        <f>IF($G$17=0,0,$D$33*Tablas!$M$7)</f>
        <v>155.86109999999999</v>
      </c>
      <c r="E73" s="286">
        <f>IF($G$17=0,0,$E$33*Tablas!$M$7)</f>
        <v>112.83596999999999</v>
      </c>
      <c r="F73" s="286">
        <f>IF($G$17=0,0,$F$33*Tablas!$M$7)</f>
        <v>91.743389999999991</v>
      </c>
      <c r="G73" s="286">
        <f>IF($G$17=0,0,$G$33*Tablas!$M$7)</f>
        <v>68.970869999999991</v>
      </c>
    </row>
    <row r="74" spans="1:7" ht="18" x14ac:dyDescent="0.2">
      <c r="A74" s="287" t="s">
        <v>74</v>
      </c>
      <c r="B74" s="288">
        <f>+IF($B$1=FALSE,0,$B$34*Tablas!$M$7)</f>
        <v>20.99925</v>
      </c>
      <c r="C74" s="288">
        <f>+IF($B$1=FALSE,0,$C$34*Tablas!$M$7)</f>
        <v>20.99925</v>
      </c>
      <c r="D74" s="288">
        <f>+IF($B$1=FALSE,0,$D$34*Tablas!$M$7)</f>
        <v>20.99925</v>
      </c>
      <c r="E74" s="288">
        <f>+IF($B$1=FALSE,0,$E$34*Tablas!$M$7)</f>
        <v>20.99925</v>
      </c>
      <c r="F74" s="288">
        <f>+IF($B$1=FALSE,0,$F$34*Tablas!$M$7)</f>
        <v>20.99925</v>
      </c>
      <c r="G74" s="288">
        <f>+IF($B$1=FALSE,0,$G$34*Tablas!$M$7)</f>
        <v>20.99925</v>
      </c>
    </row>
    <row r="75" spans="1:7" ht="18" x14ac:dyDescent="0.2">
      <c r="A75" s="287" t="s">
        <v>75</v>
      </c>
      <c r="B75" s="288">
        <f>+IF($C$1=FALSE,0,$B$35*Tablas!$M$7)</f>
        <v>27.998999999999999</v>
      </c>
      <c r="C75" s="288">
        <f>+IF($C$1=FALSE,0,$C$35*Tablas!$M$7)</f>
        <v>27.998999999999999</v>
      </c>
      <c r="D75" s="288">
        <f>+IF($C$1=FALSE,0,$D$35*Tablas!$M$7)</f>
        <v>27.998999999999999</v>
      </c>
      <c r="E75" s="288">
        <f>+IF($C$1=FALSE,0,$E$35*Tablas!$M$7)</f>
        <v>27.998999999999999</v>
      </c>
      <c r="F75" s="288">
        <f>+IF($C$1=FALSE,0,$F$35*Tablas!$M$7)</f>
        <v>27.998999999999999</v>
      </c>
      <c r="G75" s="288">
        <f>+IF($C$1=FALSE,0,$G$35*Tablas!$M$7)</f>
        <v>27.998999999999999</v>
      </c>
    </row>
    <row r="76" spans="1:7" ht="18" x14ac:dyDescent="0.2">
      <c r="A76" s="301" t="s">
        <v>76</v>
      </c>
      <c r="B76" s="290">
        <f t="shared" ref="B76" si="18">SUM(B71:B75)</f>
        <v>1692.8755500000002</v>
      </c>
      <c r="C76" s="290">
        <f t="shared" ref="C76:G76" si="19">SUM(C71:C75)</f>
        <v>1649.29044</v>
      </c>
      <c r="D76" s="290">
        <f t="shared" si="19"/>
        <v>1401.4992900000002</v>
      </c>
      <c r="E76" s="290">
        <f>SUM(E71:E75)</f>
        <v>1121.2293000000002</v>
      </c>
      <c r="F76" s="290">
        <f t="shared" si="19"/>
        <v>827.79977999999994</v>
      </c>
      <c r="G76" s="291">
        <f t="shared" si="19"/>
        <v>659.80577999999991</v>
      </c>
    </row>
    <row r="77" spans="1:7" ht="18" x14ac:dyDescent="0.2">
      <c r="A77" s="292" t="s">
        <v>77</v>
      </c>
      <c r="B77" s="302">
        <f>B76*3.5%</f>
        <v>59.250644250000015</v>
      </c>
      <c r="C77" s="302">
        <f t="shared" ref="C77:G77" si="20">C76*3.5%</f>
        <v>57.725165400000002</v>
      </c>
      <c r="D77" s="302">
        <f t="shared" si="20"/>
        <v>49.052475150000014</v>
      </c>
      <c r="E77" s="302">
        <f t="shared" si="20"/>
        <v>39.243025500000009</v>
      </c>
      <c r="F77" s="302">
        <f t="shared" si="20"/>
        <v>28.972992300000001</v>
      </c>
      <c r="G77" s="302">
        <f t="shared" si="20"/>
        <v>23.093202299999998</v>
      </c>
    </row>
    <row r="78" spans="1:7" ht="19" thickBot="1" x14ac:dyDescent="0.25">
      <c r="A78" s="292" t="s">
        <v>78</v>
      </c>
      <c r="B78" s="302">
        <f>B76*0.5%</f>
        <v>8.4643777500000006</v>
      </c>
      <c r="C78" s="302">
        <f t="shared" ref="C78:F78" si="21">C76*0.5%</f>
        <v>8.2464522000000002</v>
      </c>
      <c r="D78" s="302">
        <f t="shared" si="21"/>
        <v>7.0074964500000014</v>
      </c>
      <c r="E78" s="302">
        <f t="shared" si="21"/>
        <v>5.6061465000000013</v>
      </c>
      <c r="F78" s="302">
        <f t="shared" si="21"/>
        <v>4.1389988999999998</v>
      </c>
      <c r="G78" s="302">
        <f>G76*0.5%</f>
        <v>3.2990288999999997</v>
      </c>
    </row>
    <row r="79" spans="1:7" ht="19" thickBot="1" x14ac:dyDescent="0.25">
      <c r="A79" s="143" t="s">
        <v>81</v>
      </c>
      <c r="B79" s="370">
        <f>SUM(B76:B78)</f>
        <v>1760.5905720000003</v>
      </c>
      <c r="C79" s="370">
        <f t="shared" ref="C79:F79" si="22">SUM(C76:C78)</f>
        <v>1715.2620575999999</v>
      </c>
      <c r="D79" s="370">
        <f t="shared" si="22"/>
        <v>1457.5592616000001</v>
      </c>
      <c r="E79" s="370">
        <f t="shared" si="22"/>
        <v>1166.0784720000001</v>
      </c>
      <c r="F79" s="370">
        <f t="shared" si="22"/>
        <v>860.91177119999998</v>
      </c>
      <c r="G79" s="370">
        <f>SUM(G76:G78)</f>
        <v>686.1980112</v>
      </c>
    </row>
    <row r="80" spans="1:7" ht="19" thickBot="1" x14ac:dyDescent="0.25">
      <c r="A80" s="145" t="s">
        <v>87</v>
      </c>
      <c r="B80" s="371">
        <f>(B76+B77+B78)*1-78</f>
        <v>1682.5905720000003</v>
      </c>
      <c r="C80" s="371">
        <f t="shared" ref="C80:F80" si="23">(C76+C77+C78)*1-78</f>
        <v>1637.2620575999999</v>
      </c>
      <c r="D80" s="371">
        <f t="shared" si="23"/>
        <v>1379.5592616000001</v>
      </c>
      <c r="E80" s="371">
        <f t="shared" si="23"/>
        <v>1088.0784720000001</v>
      </c>
      <c r="F80" s="371">
        <f t="shared" si="23"/>
        <v>782.91177119999998</v>
      </c>
      <c r="G80" s="371">
        <f>(G76+G77+G78)*1-78</f>
        <v>608.1980112</v>
      </c>
    </row>
    <row r="81" spans="1:7" ht="18" x14ac:dyDescent="0.2">
      <c r="A81" s="368" t="s">
        <v>83</v>
      </c>
      <c r="B81" s="369">
        <f>B79+B80*11</f>
        <v>20269.086864000004</v>
      </c>
      <c r="C81" s="369">
        <f t="shared" ref="C81:G81" si="24">C79+C80*11</f>
        <v>19725.144691199999</v>
      </c>
      <c r="D81" s="369">
        <f t="shared" si="24"/>
        <v>16632.711139200001</v>
      </c>
      <c r="E81" s="369">
        <f t="shared" si="24"/>
        <v>13134.941664000002</v>
      </c>
      <c r="F81" s="369">
        <f t="shared" si="24"/>
        <v>9472.9412544000006</v>
      </c>
      <c r="G81" s="369">
        <f t="shared" si="24"/>
        <v>7376.3761344000004</v>
      </c>
    </row>
    <row r="82" spans="1:7" ht="18" x14ac:dyDescent="0.2">
      <c r="A82" s="434"/>
      <c r="B82" s="434"/>
      <c r="C82" s="434"/>
      <c r="D82" s="434"/>
      <c r="E82" s="434"/>
      <c r="F82" s="434"/>
      <c r="G82" s="434"/>
    </row>
    <row r="83" spans="1:7" x14ac:dyDescent="0.2">
      <c r="A83" s="435" t="s">
        <v>88</v>
      </c>
      <c r="B83" s="436"/>
      <c r="C83" s="436"/>
      <c r="D83" s="436"/>
      <c r="E83" s="436"/>
      <c r="F83" s="436"/>
      <c r="G83" s="437"/>
    </row>
    <row r="84" spans="1:7" x14ac:dyDescent="0.2">
      <c r="A84" s="438"/>
      <c r="B84" s="439"/>
      <c r="C84" s="439"/>
      <c r="D84" s="439"/>
      <c r="E84" s="439"/>
      <c r="F84" s="439"/>
      <c r="G84" s="440"/>
    </row>
    <row r="85" spans="1:7" x14ac:dyDescent="0.2">
      <c r="A85" s="438"/>
      <c r="B85" s="439"/>
      <c r="C85" s="439"/>
      <c r="D85" s="439"/>
      <c r="E85" s="439"/>
      <c r="F85" s="439"/>
      <c r="G85" s="440"/>
    </row>
    <row r="86" spans="1:7" x14ac:dyDescent="0.2">
      <c r="A86" s="438"/>
      <c r="B86" s="439"/>
      <c r="C86" s="439"/>
      <c r="D86" s="439"/>
      <c r="E86" s="439"/>
      <c r="F86" s="439"/>
      <c r="G86" s="440"/>
    </row>
    <row r="87" spans="1:7" x14ac:dyDescent="0.2">
      <c r="A87" s="441"/>
      <c r="B87" s="442"/>
      <c r="C87" s="442"/>
      <c r="D87" s="442"/>
      <c r="E87" s="442"/>
      <c r="F87" s="442"/>
      <c r="G87" s="443"/>
    </row>
  </sheetData>
  <sheetProtection algorithmName="SHA-512" hashValue="/RQOOOywOMS6Fei5PDjIII6NZucTnpNKXrbj7CfIvWvLGMD6KIVtlN2ufrcFwKK6F66QD4QJfnoGph3CEH/Sbw==" saltValue="NUfRYjEJ1YLmnZNvr9iLVw==" spinCount="100000" sheet="1" objects="1" scenarios="1"/>
  <mergeCells count="17">
    <mergeCell ref="B15:G15"/>
    <mergeCell ref="I1:T1"/>
    <mergeCell ref="A5:F11"/>
    <mergeCell ref="G5:G6"/>
    <mergeCell ref="G7:G11"/>
    <mergeCell ref="B13:G13"/>
    <mergeCell ref="A82:G82"/>
    <mergeCell ref="A83:G87"/>
    <mergeCell ref="D17:F17"/>
    <mergeCell ref="D19:F19"/>
    <mergeCell ref="D21:E22"/>
    <mergeCell ref="F21:G22"/>
    <mergeCell ref="A30:G30"/>
    <mergeCell ref="A42:G42"/>
    <mergeCell ref="D18:E18"/>
    <mergeCell ref="A56:G56"/>
    <mergeCell ref="A70:G70"/>
  </mergeCells>
  <conditionalFormatting sqref="B17">
    <cfRule type="cellIs" dxfId="51" priority="2" stopIfTrue="1" operator="greaterThan">
      <formula>2</formula>
    </cfRule>
    <cfRule type="cellIs" dxfId="50" priority="3" stopIfTrue="1" operator="lessThan">
      <formula>1</formula>
    </cfRule>
  </conditionalFormatting>
  <conditionalFormatting sqref="B19 G19">
    <cfRule type="cellIs" dxfId="49" priority="4" operator="greaterThan">
      <formula>120</formula>
    </cfRule>
    <cfRule type="cellIs" dxfId="48" priority="5" stopIfTrue="1" operator="lessThan">
      <formula>18</formula>
    </cfRule>
  </conditionalFormatting>
  <conditionalFormatting sqref="D18:E18">
    <cfRule type="containsText" dxfId="47" priority="1" operator="containsText" text="Cotización para dependiente de 24 años">
      <formula>NOT(ISERROR(SEARCH("Cotización para dependiente de 24 años",D18)))</formula>
    </cfRule>
  </conditionalFormatting>
  <printOptions horizontalCentered="1" verticalCentered="1"/>
  <pageMargins left="0.25" right="0.25" top="0.25" bottom="0.25" header="0.511811023622047" footer="0.511811023622047"/>
  <pageSetup paperSize="9" scale="56" orientation="landscape" horizontalDpi="300" verticalDpi="300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Check Box 1">
              <controlPr defaultSize="0" autoFill="0" autoLine="0" autoPict="0">
                <anchor moveWithCells="1">
                  <from>
                    <xdr:col>0</xdr:col>
                    <xdr:colOff>38100</xdr:colOff>
                    <xdr:row>20</xdr:row>
                    <xdr:rowOff>165100</xdr:rowOff>
                  </from>
                  <to>
                    <xdr:col>0</xdr:col>
                    <xdr:colOff>342900</xdr:colOff>
                    <xdr:row>21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Check Box 2">
              <controlPr defaultSize="0" autoFill="0" autoLine="0" autoPict="0">
                <anchor moveWithCells="1">
                  <from>
                    <xdr:col>0</xdr:col>
                    <xdr:colOff>2921000</xdr:colOff>
                    <xdr:row>20</xdr:row>
                    <xdr:rowOff>165100</xdr:rowOff>
                  </from>
                  <to>
                    <xdr:col>0</xdr:col>
                    <xdr:colOff>3263900</xdr:colOff>
                    <xdr:row>21</xdr:row>
                    <xdr:rowOff>203200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N87"/>
  <sheetViews>
    <sheetView showGridLines="0" zoomScaleNormal="100" workbookViewId="0">
      <selection activeCell="A12" sqref="A12"/>
    </sheetView>
  </sheetViews>
  <sheetFormatPr baseColWidth="10" defaultColWidth="8.83203125" defaultRowHeight="16" x14ac:dyDescent="0.15"/>
  <cols>
    <col min="1" max="1" width="43.6640625" style="71" bestFit="1" customWidth="1"/>
    <col min="2" max="9" width="20.83203125" style="71" customWidth="1"/>
    <col min="10" max="10" width="2.5" style="116" customWidth="1"/>
    <col min="11" max="16" width="8.83203125" style="71"/>
    <col min="17" max="17" width="8.83203125" style="71" customWidth="1"/>
    <col min="18" max="18" width="8.83203125" style="71"/>
    <col min="19" max="20" width="8.83203125" style="71" customWidth="1"/>
    <col min="21" max="26" width="8.83203125" style="71"/>
    <col min="27" max="27" width="8.83203125" style="71" customWidth="1"/>
    <col min="28" max="39" width="8.83203125" style="71"/>
    <col min="40" max="40" width="8.83203125" style="71" customWidth="1"/>
    <col min="41" max="16384" width="8.83203125" style="71"/>
  </cols>
  <sheetData>
    <row r="1" spans="1:40" x14ac:dyDescent="0.15">
      <c r="A1" s="513" t="s">
        <v>0</v>
      </c>
      <c r="B1" s="513"/>
      <c r="C1" s="513"/>
      <c r="D1" s="513"/>
      <c r="E1" s="513"/>
      <c r="F1" s="513"/>
      <c r="G1" s="513"/>
      <c r="H1" s="513"/>
      <c r="I1" s="513"/>
      <c r="L1" s="501" t="s">
        <v>51</v>
      </c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3"/>
      <c r="AA1" s="501" t="s">
        <v>51</v>
      </c>
      <c r="AB1" s="502"/>
      <c r="AC1" s="502"/>
      <c r="AD1" s="502"/>
      <c r="AE1" s="502"/>
      <c r="AF1" s="502"/>
      <c r="AG1" s="502"/>
      <c r="AH1" s="502"/>
      <c r="AI1" s="502"/>
      <c r="AJ1" s="502"/>
      <c r="AK1" s="502"/>
      <c r="AL1" s="502"/>
      <c r="AM1" s="502"/>
      <c r="AN1" s="503"/>
    </row>
    <row r="2" spans="1:40" x14ac:dyDescent="0.15">
      <c r="A2" s="513"/>
      <c r="B2" s="513"/>
      <c r="C2" s="513"/>
      <c r="D2" s="513"/>
      <c r="E2" s="513"/>
      <c r="F2" s="513"/>
      <c r="G2" s="513"/>
      <c r="H2" s="513"/>
      <c r="I2" s="513"/>
      <c r="L2" s="159"/>
      <c r="M2" s="160"/>
      <c r="N2" s="160"/>
      <c r="O2" s="160"/>
      <c r="P2" s="160"/>
      <c r="Q2" s="160"/>
      <c r="R2" s="161"/>
      <c r="S2" s="161"/>
      <c r="T2" s="161"/>
      <c r="U2" s="161"/>
      <c r="V2" s="161"/>
      <c r="W2" s="161"/>
      <c r="X2" s="161"/>
      <c r="Y2" s="162"/>
      <c r="AA2" s="159"/>
      <c r="AB2" s="160"/>
      <c r="AC2" s="160"/>
      <c r="AD2" s="160"/>
      <c r="AE2" s="160"/>
      <c r="AF2" s="160"/>
      <c r="AG2" s="161"/>
      <c r="AH2" s="161"/>
      <c r="AI2" s="161"/>
      <c r="AJ2" s="161"/>
      <c r="AK2" s="161"/>
      <c r="AL2" s="161"/>
      <c r="AM2" s="161"/>
      <c r="AN2" s="162"/>
    </row>
    <row r="3" spans="1:40" x14ac:dyDescent="0.15">
      <c r="A3" s="513"/>
      <c r="B3" s="513"/>
      <c r="C3" s="513"/>
      <c r="D3" s="513"/>
      <c r="E3" s="513"/>
      <c r="F3" s="513"/>
      <c r="G3" s="513"/>
      <c r="H3" s="513"/>
      <c r="I3" s="513"/>
      <c r="L3" s="163"/>
      <c r="M3" s="109"/>
      <c r="N3" s="109"/>
      <c r="O3" s="109" t="s">
        <v>0</v>
      </c>
      <c r="P3" s="109" t="s">
        <v>0</v>
      </c>
      <c r="Q3" s="109" t="s">
        <v>0</v>
      </c>
      <c r="R3" s="85"/>
      <c r="S3" s="85"/>
      <c r="T3" s="85"/>
      <c r="U3" s="85"/>
      <c r="V3" s="85"/>
      <c r="W3" s="85"/>
      <c r="X3" s="85"/>
      <c r="Y3" s="164"/>
      <c r="AA3" s="163"/>
      <c r="AB3" s="109"/>
      <c r="AC3" s="109"/>
      <c r="AD3" s="109" t="s">
        <v>0</v>
      </c>
      <c r="AE3" s="109" t="s">
        <v>0</v>
      </c>
      <c r="AF3" s="109" t="s">
        <v>0</v>
      </c>
      <c r="AG3" s="85"/>
      <c r="AH3" s="85"/>
      <c r="AI3" s="85"/>
      <c r="AJ3" s="85"/>
      <c r="AK3" s="85"/>
      <c r="AL3" s="85"/>
      <c r="AM3" s="85"/>
      <c r="AN3" s="164"/>
    </row>
    <row r="4" spans="1:40" x14ac:dyDescent="0.15">
      <c r="A4" s="513"/>
      <c r="B4" s="513"/>
      <c r="C4" s="513"/>
      <c r="D4" s="513"/>
      <c r="E4" s="513"/>
      <c r="F4" s="513"/>
      <c r="G4" s="513"/>
      <c r="H4" s="513"/>
      <c r="I4" s="513"/>
      <c r="L4" s="163"/>
      <c r="M4" s="109"/>
      <c r="N4" s="109"/>
      <c r="O4" s="109"/>
      <c r="P4" s="109"/>
      <c r="Q4" s="109"/>
      <c r="R4" s="85"/>
      <c r="S4" s="85"/>
      <c r="T4" s="85"/>
      <c r="U4" s="85"/>
      <c r="V4" s="85"/>
      <c r="W4" s="85"/>
      <c r="X4" s="85"/>
      <c r="Y4" s="164"/>
      <c r="AA4" s="163"/>
      <c r="AB4" s="109"/>
      <c r="AC4" s="109"/>
      <c r="AD4" s="109"/>
      <c r="AE4" s="109"/>
      <c r="AF4" s="109"/>
      <c r="AG4" s="85"/>
      <c r="AH4" s="85"/>
      <c r="AI4" s="85"/>
      <c r="AJ4" s="85"/>
      <c r="AK4" s="85"/>
      <c r="AL4" s="85"/>
      <c r="AM4" s="85"/>
      <c r="AN4" s="164"/>
    </row>
    <row r="5" spans="1:40" ht="16" customHeight="1" x14ac:dyDescent="0.15">
      <c r="A5" s="473" t="s">
        <v>89</v>
      </c>
      <c r="B5" s="473"/>
      <c r="C5" s="473"/>
      <c r="D5" s="473"/>
      <c r="E5" s="473"/>
      <c r="F5" s="473"/>
      <c r="G5" s="473"/>
      <c r="H5" s="474"/>
      <c r="I5" s="472" t="s">
        <v>53</v>
      </c>
      <c r="L5" s="163"/>
      <c r="M5" s="109"/>
      <c r="N5" s="109"/>
      <c r="O5" s="109"/>
      <c r="P5" s="109"/>
      <c r="Q5" s="109"/>
      <c r="R5" s="85"/>
      <c r="S5" s="85"/>
      <c r="T5" s="85"/>
      <c r="U5" s="85"/>
      <c r="V5" s="85"/>
      <c r="W5" s="85"/>
      <c r="X5" s="85"/>
      <c r="Y5" s="164"/>
      <c r="AA5" s="163"/>
      <c r="AB5" s="109"/>
      <c r="AC5" s="109"/>
      <c r="AD5" s="109"/>
      <c r="AE5" s="109"/>
      <c r="AF5" s="109"/>
      <c r="AG5" s="85"/>
      <c r="AH5" s="85"/>
      <c r="AI5" s="85"/>
      <c r="AJ5" s="85"/>
      <c r="AK5" s="85"/>
      <c r="AL5" s="85"/>
      <c r="AM5" s="85"/>
      <c r="AN5" s="164"/>
    </row>
    <row r="6" spans="1:40" x14ac:dyDescent="0.15">
      <c r="A6" s="473"/>
      <c r="B6" s="473"/>
      <c r="C6" s="473"/>
      <c r="D6" s="473"/>
      <c r="E6" s="473"/>
      <c r="F6" s="473"/>
      <c r="G6" s="473"/>
      <c r="H6" s="474"/>
      <c r="I6" s="472"/>
      <c r="L6" s="163"/>
      <c r="M6" s="109"/>
      <c r="N6" s="109"/>
      <c r="O6" s="109"/>
      <c r="P6" s="109"/>
      <c r="Q6" s="109"/>
      <c r="R6" s="85"/>
      <c r="S6" s="85"/>
      <c r="T6" s="85"/>
      <c r="U6" s="85"/>
      <c r="V6" s="85"/>
      <c r="W6" s="85"/>
      <c r="X6" s="85"/>
      <c r="Y6" s="164"/>
      <c r="AA6" s="163"/>
      <c r="AB6" s="109"/>
      <c r="AC6" s="109"/>
      <c r="AD6" s="109"/>
      <c r="AE6" s="109"/>
      <c r="AF6" s="109"/>
      <c r="AG6" s="85"/>
      <c r="AH6" s="85"/>
      <c r="AI6" s="85"/>
      <c r="AJ6" s="85"/>
      <c r="AK6" s="85"/>
      <c r="AL6" s="85"/>
      <c r="AM6" s="85"/>
      <c r="AN6" s="164"/>
    </row>
    <row r="7" spans="1:40" x14ac:dyDescent="0.15">
      <c r="A7" s="473"/>
      <c r="B7" s="473"/>
      <c r="C7" s="473"/>
      <c r="D7" s="473"/>
      <c r="E7" s="473"/>
      <c r="F7" s="473"/>
      <c r="G7" s="473"/>
      <c r="H7" s="474"/>
      <c r="I7" s="466" t="str">
        <f>'INGRESO DE DATOS'!W20</f>
        <v>Resto de Ecuador</v>
      </c>
      <c r="L7" s="163"/>
      <c r="M7" s="109"/>
      <c r="N7" s="109"/>
      <c r="O7" s="78" t="s">
        <v>0</v>
      </c>
      <c r="P7" s="78" t="s">
        <v>0</v>
      </c>
      <c r="Q7" s="78" t="s">
        <v>0</v>
      </c>
      <c r="R7" s="85"/>
      <c r="S7" s="85"/>
      <c r="T7" s="85"/>
      <c r="U7" s="85"/>
      <c r="V7" s="85"/>
      <c r="W7" s="85"/>
      <c r="X7" s="85"/>
      <c r="Y7" s="164"/>
      <c r="AA7" s="163"/>
      <c r="AB7" s="109"/>
      <c r="AC7" s="109"/>
      <c r="AD7" s="78" t="s">
        <v>0</v>
      </c>
      <c r="AE7" s="78" t="s">
        <v>0</v>
      </c>
      <c r="AF7" s="78" t="s">
        <v>0</v>
      </c>
      <c r="AG7" s="85"/>
      <c r="AH7" s="85"/>
      <c r="AI7" s="85"/>
      <c r="AJ7" s="85"/>
      <c r="AK7" s="85"/>
      <c r="AL7" s="85"/>
      <c r="AM7" s="85"/>
      <c r="AN7" s="164"/>
    </row>
    <row r="8" spans="1:40" x14ac:dyDescent="0.15">
      <c r="A8" s="473"/>
      <c r="B8" s="473"/>
      <c r="C8" s="473"/>
      <c r="D8" s="473"/>
      <c r="E8" s="473"/>
      <c r="F8" s="473"/>
      <c r="G8" s="473"/>
      <c r="H8" s="474"/>
      <c r="I8" s="466"/>
      <c r="L8" s="163"/>
      <c r="M8" s="109"/>
      <c r="N8" s="109"/>
      <c r="O8" s="109"/>
      <c r="P8" s="109"/>
      <c r="Q8" s="109"/>
      <c r="R8" s="85"/>
      <c r="S8" s="85"/>
      <c r="T8" s="85"/>
      <c r="U8" s="85"/>
      <c r="V8" s="85"/>
      <c r="W8" s="85"/>
      <c r="X8" s="85"/>
      <c r="Y8" s="164"/>
      <c r="AA8" s="163"/>
      <c r="AB8" s="109"/>
      <c r="AC8" s="109"/>
      <c r="AD8" s="109"/>
      <c r="AE8" s="109"/>
      <c r="AF8" s="109"/>
      <c r="AG8" s="85"/>
      <c r="AH8" s="85"/>
      <c r="AI8" s="85"/>
      <c r="AJ8" s="85"/>
      <c r="AK8" s="85"/>
      <c r="AL8" s="85"/>
      <c r="AM8" s="85"/>
      <c r="AN8" s="164"/>
    </row>
    <row r="9" spans="1:40" x14ac:dyDescent="0.15">
      <c r="A9" s="473"/>
      <c r="B9" s="473"/>
      <c r="C9" s="473"/>
      <c r="D9" s="473"/>
      <c r="E9" s="473"/>
      <c r="F9" s="473"/>
      <c r="G9" s="473"/>
      <c r="H9" s="474"/>
      <c r="I9" s="466"/>
      <c r="L9" s="163"/>
      <c r="M9" s="109"/>
      <c r="N9" s="109"/>
      <c r="O9" s="109"/>
      <c r="P9" s="109"/>
      <c r="Q9" s="109"/>
      <c r="R9" s="85"/>
      <c r="S9" s="85"/>
      <c r="T9" s="85"/>
      <c r="U9" s="85"/>
      <c r="V9" s="85"/>
      <c r="W9" s="85"/>
      <c r="X9" s="85"/>
      <c r="Y9" s="164"/>
      <c r="AA9" s="163"/>
      <c r="AB9" s="109"/>
      <c r="AC9" s="109"/>
      <c r="AD9" s="109"/>
      <c r="AE9" s="109"/>
      <c r="AF9" s="109"/>
      <c r="AG9" s="85"/>
      <c r="AH9" s="85"/>
      <c r="AI9" s="85"/>
      <c r="AJ9" s="85"/>
      <c r="AK9" s="85"/>
      <c r="AL9" s="85"/>
      <c r="AM9" s="85"/>
      <c r="AN9" s="164"/>
    </row>
    <row r="10" spans="1:40" x14ac:dyDescent="0.15">
      <c r="A10" s="473"/>
      <c r="B10" s="473"/>
      <c r="C10" s="473"/>
      <c r="D10" s="473"/>
      <c r="E10" s="473"/>
      <c r="F10" s="473"/>
      <c r="G10" s="473"/>
      <c r="H10" s="474"/>
      <c r="I10" s="466"/>
      <c r="L10" s="163"/>
      <c r="M10" s="109"/>
      <c r="N10" s="109"/>
      <c r="O10" s="109"/>
      <c r="P10" s="109"/>
      <c r="Q10" s="109"/>
      <c r="R10" s="85"/>
      <c r="S10" s="85"/>
      <c r="T10" s="85"/>
      <c r="U10" s="85"/>
      <c r="V10" s="85"/>
      <c r="W10" s="85"/>
      <c r="X10" s="85"/>
      <c r="Y10" s="164"/>
      <c r="AA10" s="163"/>
      <c r="AB10" s="109"/>
      <c r="AC10" s="109"/>
      <c r="AD10" s="109"/>
      <c r="AE10" s="109"/>
      <c r="AF10" s="109"/>
      <c r="AG10" s="85"/>
      <c r="AH10" s="85"/>
      <c r="AI10" s="85"/>
      <c r="AJ10" s="85"/>
      <c r="AK10" s="85"/>
      <c r="AL10" s="85"/>
      <c r="AM10" s="85"/>
      <c r="AN10" s="164"/>
    </row>
    <row r="11" spans="1:40" x14ac:dyDescent="0.15">
      <c r="A11" s="473"/>
      <c r="B11" s="473"/>
      <c r="C11" s="473"/>
      <c r="D11" s="473"/>
      <c r="E11" s="473"/>
      <c r="F11" s="473"/>
      <c r="G11" s="473"/>
      <c r="H11" s="474"/>
      <c r="I11" s="466"/>
      <c r="L11" s="16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164"/>
      <c r="AA11" s="16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164"/>
    </row>
    <row r="12" spans="1:40" ht="6" customHeight="1" x14ac:dyDescent="0.15">
      <c r="A12" s="109"/>
      <c r="B12" s="109"/>
      <c r="C12" s="109"/>
      <c r="D12" s="109"/>
      <c r="E12" s="109"/>
      <c r="F12" s="109"/>
      <c r="G12" s="109"/>
      <c r="H12" s="109"/>
      <c r="I12" s="109"/>
      <c r="L12" s="165"/>
      <c r="M12" s="85"/>
      <c r="N12" s="85"/>
      <c r="O12" s="85"/>
      <c r="P12" s="85"/>
      <c r="Q12" s="61"/>
      <c r="R12" s="85"/>
      <c r="S12" s="85"/>
      <c r="T12" s="85"/>
      <c r="U12" s="85"/>
      <c r="V12" s="85"/>
      <c r="W12" s="85"/>
      <c r="X12" s="85"/>
      <c r="Y12" s="164"/>
      <c r="AA12" s="165"/>
      <c r="AB12" s="85"/>
      <c r="AC12" s="85"/>
      <c r="AD12" s="85"/>
      <c r="AE12" s="85"/>
      <c r="AF12" s="61"/>
      <c r="AG12" s="85"/>
      <c r="AH12" s="85"/>
      <c r="AI12" s="85"/>
      <c r="AJ12" s="85"/>
      <c r="AK12" s="85"/>
      <c r="AL12" s="85"/>
      <c r="AM12" s="85"/>
      <c r="AN12" s="164"/>
    </row>
    <row r="13" spans="1:40" x14ac:dyDescent="0.15">
      <c r="A13" s="58" t="s">
        <v>90</v>
      </c>
      <c r="B13" s="484" t="str">
        <f>+'INGRESO DE DATOS'!$C$37</f>
        <v>John Doe</v>
      </c>
      <c r="C13" s="485"/>
      <c r="D13" s="485"/>
      <c r="E13" s="485"/>
      <c r="F13" s="485"/>
      <c r="G13" s="485"/>
      <c r="H13" s="485"/>
      <c r="I13" s="486"/>
      <c r="L13" s="166"/>
      <c r="M13" s="61"/>
      <c r="N13" s="61"/>
      <c r="O13" s="61"/>
      <c r="P13" s="85"/>
      <c r="Q13" s="61"/>
      <c r="R13" s="85"/>
      <c r="S13" s="85"/>
      <c r="T13" s="85"/>
      <c r="U13" s="85"/>
      <c r="V13" s="85"/>
      <c r="W13" s="85"/>
      <c r="X13" s="85"/>
      <c r="Y13" s="164"/>
      <c r="AA13" s="166"/>
      <c r="AB13" s="61"/>
      <c r="AC13" s="61"/>
      <c r="AD13" s="61"/>
      <c r="AE13" s="85"/>
      <c r="AF13" s="61"/>
      <c r="AG13" s="85"/>
      <c r="AH13" s="85"/>
      <c r="AI13" s="85"/>
      <c r="AJ13" s="85"/>
      <c r="AK13" s="85"/>
      <c r="AL13" s="85"/>
      <c r="AM13" s="85"/>
      <c r="AN13" s="164"/>
    </row>
    <row r="14" spans="1:40" x14ac:dyDescent="0.15">
      <c r="A14" s="58"/>
      <c r="B14" s="109"/>
      <c r="C14" s="109"/>
      <c r="D14" s="109"/>
      <c r="E14" s="109"/>
      <c r="F14" s="109"/>
      <c r="G14" s="109"/>
      <c r="H14" s="109"/>
      <c r="I14" s="109"/>
      <c r="L14" s="166"/>
      <c r="M14" s="61"/>
      <c r="N14" s="61"/>
      <c r="O14" s="167"/>
      <c r="P14" s="85"/>
      <c r="Q14" s="61"/>
      <c r="R14" s="85"/>
      <c r="S14" s="85"/>
      <c r="T14" s="85"/>
      <c r="U14" s="85"/>
      <c r="V14" s="85"/>
      <c r="W14" s="85"/>
      <c r="X14" s="85"/>
      <c r="Y14" s="164"/>
      <c r="AA14" s="166"/>
      <c r="AB14" s="61"/>
      <c r="AC14" s="61"/>
      <c r="AD14" s="167"/>
      <c r="AE14" s="85"/>
      <c r="AF14" s="61"/>
      <c r="AG14" s="85"/>
      <c r="AH14" s="85"/>
      <c r="AI14" s="85"/>
      <c r="AJ14" s="85"/>
      <c r="AK14" s="85"/>
      <c r="AL14" s="85"/>
      <c r="AM14" s="85"/>
      <c r="AN14" s="164"/>
    </row>
    <row r="15" spans="1:40" x14ac:dyDescent="0.15">
      <c r="A15" s="58" t="s">
        <v>91</v>
      </c>
      <c r="B15" s="60">
        <f>+'INGRESO DE DATOS'!$C$39</f>
        <v>2</v>
      </c>
      <c r="C15" s="109"/>
      <c r="D15" s="109"/>
      <c r="E15" s="109"/>
      <c r="F15" s="109"/>
      <c r="G15" s="109"/>
      <c r="H15" s="109"/>
      <c r="I15" s="109"/>
      <c r="L15" s="165"/>
      <c r="M15" s="109"/>
      <c r="N15" s="109"/>
      <c r="O15" s="109"/>
      <c r="P15" s="85"/>
      <c r="Q15" s="61"/>
      <c r="R15" s="85"/>
      <c r="S15" s="85"/>
      <c r="T15" s="85"/>
      <c r="U15" s="85"/>
      <c r="V15" s="85"/>
      <c r="W15" s="85"/>
      <c r="X15" s="85"/>
      <c r="Y15" s="164"/>
      <c r="AA15" s="165"/>
      <c r="AB15" s="109"/>
      <c r="AC15" s="109"/>
      <c r="AD15" s="109"/>
      <c r="AE15" s="85"/>
      <c r="AF15" s="61"/>
      <c r="AG15" s="85"/>
      <c r="AH15" s="85"/>
      <c r="AI15" s="85"/>
      <c r="AJ15" s="85"/>
      <c r="AK15" s="85"/>
      <c r="AL15" s="85"/>
      <c r="AM15" s="85"/>
      <c r="AN15" s="164"/>
    </row>
    <row r="16" spans="1:40" x14ac:dyDescent="0.15">
      <c r="A16" s="58"/>
      <c r="B16" s="109"/>
      <c r="C16" s="109"/>
      <c r="D16" s="109"/>
      <c r="E16" s="109"/>
      <c r="F16" s="109"/>
      <c r="G16" s="109"/>
      <c r="H16" s="109"/>
      <c r="I16" s="109"/>
      <c r="L16" s="165"/>
      <c r="M16" s="76"/>
      <c r="N16" s="85"/>
      <c r="O16" s="167"/>
      <c r="P16" s="85"/>
      <c r="Q16" s="61"/>
      <c r="R16" s="85"/>
      <c r="S16" s="85"/>
      <c r="T16" s="85"/>
      <c r="U16" s="85"/>
      <c r="V16" s="85"/>
      <c r="W16" s="85"/>
      <c r="X16" s="85"/>
      <c r="Y16" s="164"/>
      <c r="AA16" s="165"/>
      <c r="AB16" s="76"/>
      <c r="AC16" s="85"/>
      <c r="AD16" s="167"/>
      <c r="AE16" s="85"/>
      <c r="AF16" s="61"/>
      <c r="AG16" s="85"/>
      <c r="AH16" s="85"/>
      <c r="AI16" s="85"/>
      <c r="AJ16" s="85"/>
      <c r="AK16" s="85"/>
      <c r="AL16" s="85"/>
      <c r="AM16" s="85"/>
      <c r="AN16" s="164"/>
    </row>
    <row r="17" spans="1:40" x14ac:dyDescent="0.15">
      <c r="A17" s="58" t="s">
        <v>92</v>
      </c>
      <c r="B17" s="60">
        <f>+'INGRESO DE DATOS'!$C$41</f>
        <v>1</v>
      </c>
      <c r="C17" s="488" t="str">
        <f>IF('INGRESO DE DATOS'!$P$2=TRUE, "Cotización para dependiente de 24 años","")</f>
        <v/>
      </c>
      <c r="D17" s="489"/>
      <c r="E17" s="109"/>
      <c r="F17" s="109"/>
      <c r="G17" s="109"/>
      <c r="H17" s="109"/>
      <c r="I17" s="109"/>
      <c r="L17" s="165"/>
      <c r="M17" s="109"/>
      <c r="N17" s="85"/>
      <c r="O17" s="109"/>
      <c r="P17" s="85"/>
      <c r="Q17" s="61"/>
      <c r="R17" s="85"/>
      <c r="S17" s="85"/>
      <c r="T17" s="85"/>
      <c r="U17" s="85"/>
      <c r="V17" s="85"/>
      <c r="W17" s="85"/>
      <c r="X17" s="85"/>
      <c r="Y17" s="164"/>
      <c r="AA17" s="165"/>
      <c r="AB17" s="109"/>
      <c r="AC17" s="85"/>
      <c r="AD17" s="109"/>
      <c r="AE17" s="85"/>
      <c r="AF17" s="61"/>
      <c r="AG17" s="85"/>
      <c r="AH17" s="85"/>
      <c r="AI17" s="85"/>
      <c r="AJ17" s="85"/>
      <c r="AK17" s="85"/>
      <c r="AL17" s="85"/>
      <c r="AM17" s="85"/>
      <c r="AN17" s="164"/>
    </row>
    <row r="18" spans="1:40" x14ac:dyDescent="0.15">
      <c r="A18" s="58"/>
      <c r="B18" s="109"/>
      <c r="C18" s="109"/>
      <c r="D18" s="109"/>
      <c r="E18" s="109"/>
      <c r="F18" s="109"/>
      <c r="G18" s="109"/>
      <c r="H18" s="109"/>
      <c r="I18" s="109"/>
      <c r="L18" s="163"/>
      <c r="M18" s="76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164"/>
      <c r="AA18" s="163"/>
      <c r="AB18" s="76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  <c r="AN18" s="164"/>
    </row>
    <row r="19" spans="1:40" x14ac:dyDescent="0.15">
      <c r="A19" s="58" t="s">
        <v>93</v>
      </c>
      <c r="B19" s="60">
        <f>+'INGRESO DE DATOS'!$C$43</f>
        <v>34</v>
      </c>
      <c r="C19" s="61"/>
      <c r="D19" s="109"/>
      <c r="E19" s="109"/>
      <c r="F19" s="221"/>
      <c r="G19" s="487" t="s">
        <v>94</v>
      </c>
      <c r="H19" s="487"/>
      <c r="I19" s="222">
        <f>+'INGRESO DE DATOS'!$C$45</f>
        <v>32</v>
      </c>
      <c r="L19" s="163"/>
      <c r="M19" s="109" t="s">
        <v>0</v>
      </c>
      <c r="N19" s="109" t="s">
        <v>0</v>
      </c>
      <c r="O19" s="109"/>
      <c r="P19" s="85"/>
      <c r="Q19" s="85"/>
      <c r="R19" s="85"/>
      <c r="S19" s="85"/>
      <c r="T19" s="85"/>
      <c r="U19" s="85"/>
      <c r="V19" s="85"/>
      <c r="W19" s="85"/>
      <c r="X19" s="85"/>
      <c r="Y19" s="164"/>
      <c r="AA19" s="163"/>
      <c r="AB19" s="109" t="s">
        <v>0</v>
      </c>
      <c r="AC19" s="109" t="s">
        <v>0</v>
      </c>
      <c r="AD19" s="109"/>
      <c r="AE19" s="85"/>
      <c r="AF19" s="85"/>
      <c r="AG19" s="85"/>
      <c r="AH19" s="85"/>
      <c r="AI19" s="85"/>
      <c r="AJ19" s="85"/>
      <c r="AK19" s="85"/>
      <c r="AL19" s="85"/>
      <c r="AM19" s="85"/>
      <c r="AN19" s="164"/>
    </row>
    <row r="20" spans="1:40" ht="17" thickBot="1" x14ac:dyDescent="0.2">
      <c r="A20" s="64"/>
      <c r="B20" s="114"/>
      <c r="C20" s="114"/>
      <c r="D20" s="114"/>
      <c r="E20" s="114"/>
      <c r="F20" s="114"/>
      <c r="G20" s="114"/>
      <c r="H20" s="114"/>
      <c r="I20" s="114"/>
      <c r="L20" s="168"/>
      <c r="M20" s="169"/>
      <c r="N20" s="109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164"/>
      <c r="AA20" s="168"/>
      <c r="AB20" s="169"/>
      <c r="AC20" s="109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164"/>
    </row>
    <row r="21" spans="1:40" ht="17" thickBot="1" x14ac:dyDescent="0.2">
      <c r="A21" s="79" t="s">
        <v>95</v>
      </c>
      <c r="B21" s="479">
        <f ca="1">NOW()</f>
        <v>46241.393698032407</v>
      </c>
      <c r="C21" s="480"/>
      <c r="D21" s="115"/>
      <c r="E21" s="115"/>
      <c r="F21" s="115"/>
      <c r="G21" s="115"/>
      <c r="H21" s="115"/>
      <c r="I21" s="113"/>
      <c r="L21" s="163" t="s">
        <v>0</v>
      </c>
      <c r="M21" s="170" t="b">
        <v>0</v>
      </c>
      <c r="N21" s="109"/>
      <c r="O21" s="109" t="s">
        <v>0</v>
      </c>
      <c r="P21" s="171"/>
      <c r="Q21" s="85"/>
      <c r="R21" s="85"/>
      <c r="S21" s="85"/>
      <c r="T21" s="85"/>
      <c r="U21" s="85"/>
      <c r="V21" s="85"/>
      <c r="W21" s="85"/>
      <c r="X21" s="85"/>
      <c r="Y21" s="164"/>
      <c r="AA21" s="163" t="s">
        <v>0</v>
      </c>
      <c r="AB21" s="170" t="b">
        <v>0</v>
      </c>
      <c r="AC21" s="109"/>
      <c r="AD21" s="109" t="s">
        <v>0</v>
      </c>
      <c r="AE21" s="171"/>
      <c r="AF21" s="85"/>
      <c r="AG21" s="85"/>
      <c r="AH21" s="85"/>
      <c r="AI21" s="85"/>
      <c r="AJ21" s="85"/>
      <c r="AK21" s="85"/>
      <c r="AL21" s="85"/>
      <c r="AM21" s="85"/>
      <c r="AN21" s="164"/>
    </row>
    <row r="22" spans="1:40" x14ac:dyDescent="0.15">
      <c r="I22" s="86"/>
      <c r="L22" s="163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164"/>
      <c r="AA22" s="163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164"/>
    </row>
    <row r="23" spans="1:40" ht="17" hidden="1" customHeight="1" thickBot="1" x14ac:dyDescent="0.2">
      <c r="A23" s="504" t="str">
        <f>IF('INGRESO DE DATOS'!P3=TRUE,"Variante con coaseguro fuera del país de residencia: SI","Variante con coaseguro fuera del país de residencia: NO")</f>
        <v>Variante con coaseguro fuera del país de residencia: NO</v>
      </c>
      <c r="B23" s="505"/>
      <c r="C23" s="506"/>
      <c r="I23" s="69"/>
      <c r="L23" s="172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164"/>
      <c r="AA23" s="172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164"/>
    </row>
    <row r="24" spans="1:40" s="87" customFormat="1" x14ac:dyDescent="0.15">
      <c r="A24" s="63"/>
      <c r="B24" s="86"/>
      <c r="C24" s="86" t="s">
        <v>0</v>
      </c>
      <c r="E24" s="86"/>
      <c r="F24" s="86"/>
      <c r="G24" s="86"/>
      <c r="H24" s="86"/>
      <c r="I24" s="86" t="s">
        <v>0</v>
      </c>
      <c r="J24" s="128"/>
      <c r="L24" s="172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164"/>
      <c r="AA24" s="172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164"/>
    </row>
    <row r="25" spans="1:40" s="87" customFormat="1" ht="18" x14ac:dyDescent="0.15">
      <c r="A25" s="133" t="s">
        <v>96</v>
      </c>
      <c r="B25" s="133"/>
      <c r="C25" s="133" t="s">
        <v>62</v>
      </c>
      <c r="D25" s="133" t="s">
        <v>63</v>
      </c>
      <c r="E25" s="133" t="s">
        <v>64</v>
      </c>
      <c r="F25" s="133" t="s">
        <v>65</v>
      </c>
      <c r="G25" s="133" t="s">
        <v>66</v>
      </c>
      <c r="H25" s="133" t="s">
        <v>67</v>
      </c>
      <c r="I25" s="133" t="s">
        <v>97</v>
      </c>
      <c r="J25" s="128"/>
      <c r="L25" s="172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164"/>
      <c r="AA25" s="172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164"/>
    </row>
    <row r="26" spans="1:40" s="87" customFormat="1" ht="18" x14ac:dyDescent="0.15">
      <c r="A26" s="481" t="s">
        <v>98</v>
      </c>
      <c r="B26" s="482"/>
      <c r="C26" s="158">
        <v>250</v>
      </c>
      <c r="D26" s="158">
        <v>500</v>
      </c>
      <c r="E26" s="158">
        <v>1000</v>
      </c>
      <c r="F26" s="158">
        <v>2000</v>
      </c>
      <c r="G26" s="158">
        <v>5000</v>
      </c>
      <c r="H26" s="158">
        <v>10000</v>
      </c>
      <c r="I26" s="158">
        <v>20000</v>
      </c>
      <c r="J26" s="118"/>
      <c r="K26" s="62"/>
      <c r="L26" s="173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164"/>
      <c r="AA26" s="173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164"/>
    </row>
    <row r="27" spans="1:40" s="87" customFormat="1" ht="18" x14ac:dyDescent="0.15">
      <c r="A27" s="481" t="s">
        <v>99</v>
      </c>
      <c r="B27" s="482"/>
      <c r="C27" s="158">
        <v>500</v>
      </c>
      <c r="D27" s="158">
        <v>1000</v>
      </c>
      <c r="E27" s="158">
        <v>2000</v>
      </c>
      <c r="F27" s="158">
        <v>4000</v>
      </c>
      <c r="G27" s="158">
        <v>5000</v>
      </c>
      <c r="H27" s="158">
        <v>10000</v>
      </c>
      <c r="I27" s="158">
        <v>20000</v>
      </c>
      <c r="J27" s="129"/>
      <c r="K27" s="110"/>
      <c r="L27" s="174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164"/>
      <c r="AA27" s="174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164"/>
    </row>
    <row r="28" spans="1:40" s="87" customFormat="1" ht="18" x14ac:dyDescent="0.15">
      <c r="A28" s="134"/>
      <c r="B28" s="135"/>
      <c r="C28" s="134"/>
      <c r="D28" s="134"/>
      <c r="E28" s="134"/>
      <c r="F28" s="134"/>
      <c r="G28" s="134"/>
      <c r="H28" s="134"/>
      <c r="I28" s="136"/>
      <c r="J28" s="129"/>
      <c r="K28" s="110"/>
      <c r="L28" s="174"/>
      <c r="M28" s="171"/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71"/>
      <c r="Y28" s="175"/>
      <c r="AA28" s="174"/>
      <c r="AB28" s="171"/>
      <c r="AC28" s="171"/>
      <c r="AD28" s="171"/>
      <c r="AE28" s="171"/>
      <c r="AF28" s="171"/>
      <c r="AG28" s="171"/>
      <c r="AH28" s="171"/>
      <c r="AI28" s="171"/>
      <c r="AJ28" s="171"/>
      <c r="AK28" s="171"/>
      <c r="AL28" s="171"/>
      <c r="AM28" s="171"/>
      <c r="AN28" s="175"/>
    </row>
    <row r="29" spans="1:40" s="87" customFormat="1" ht="18" x14ac:dyDescent="0.15">
      <c r="A29" s="483" t="s">
        <v>70</v>
      </c>
      <c r="B29" s="483"/>
      <c r="C29" s="483"/>
      <c r="D29" s="483"/>
      <c r="E29" s="483"/>
      <c r="F29" s="483"/>
      <c r="G29" s="483"/>
      <c r="H29" s="483"/>
      <c r="I29" s="483"/>
      <c r="J29" s="117"/>
      <c r="K29" s="86"/>
      <c r="L29" s="176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5"/>
      <c r="AA29" s="176"/>
      <c r="AB29" s="171"/>
      <c r="AC29" s="171"/>
      <c r="AD29" s="171"/>
      <c r="AE29" s="171"/>
      <c r="AF29" s="171"/>
      <c r="AG29" s="171"/>
      <c r="AH29" s="171"/>
      <c r="AI29" s="171"/>
      <c r="AJ29" s="171"/>
      <c r="AK29" s="171"/>
      <c r="AL29" s="171"/>
      <c r="AM29" s="171"/>
      <c r="AN29" s="175"/>
    </row>
    <row r="30" spans="1:40" s="93" customFormat="1" ht="18" x14ac:dyDescent="0.15">
      <c r="A30" s="470" t="s">
        <v>100</v>
      </c>
      <c r="B30" s="471"/>
      <c r="C30" s="84">
        <f>VLOOKUP($B$19,Tablas!$A$84:$I$150,3,TRUE)+60+50</f>
        <v>3866</v>
      </c>
      <c r="D30" s="84">
        <f>VLOOKUP($B$19,Tablas!$A$84:$I$150,4,TRUE)+60+50</f>
        <v>3148</v>
      </c>
      <c r="E30" s="84">
        <f>VLOOKUP($B$19,Tablas!$A$84:$I$150,5,TRUE)+60+50</f>
        <v>2476</v>
      </c>
      <c r="F30" s="84">
        <f>VLOOKUP($B$19,Tablas!$A$84:$I$150,6,TRUE)+60+50</f>
        <v>1841</v>
      </c>
      <c r="G30" s="84">
        <f>VLOOKUP($B$19,Tablas!$A$84:$I$150,7,TRUE)+60+50</f>
        <v>1130</v>
      </c>
      <c r="H30" s="84">
        <f>VLOOKUP($B$19,Tablas!$A$84:$I$150,8,TRUE)+60+50</f>
        <v>729</v>
      </c>
      <c r="I30" s="84">
        <f>VLOOKUP($B$19,Tablas!$A$84:$I$150,9,TRUE)+60+50</f>
        <v>560</v>
      </c>
      <c r="J30" s="130"/>
      <c r="K30" s="69"/>
      <c r="L30" s="176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5"/>
      <c r="AA30" s="176"/>
      <c r="AB30" s="171"/>
      <c r="AC30" s="171"/>
      <c r="AD30" s="171"/>
      <c r="AE30" s="171"/>
      <c r="AF30" s="171"/>
      <c r="AG30" s="171"/>
      <c r="AH30" s="171"/>
      <c r="AI30" s="171"/>
      <c r="AJ30" s="171"/>
      <c r="AK30" s="171"/>
      <c r="AL30" s="171"/>
      <c r="AM30" s="171"/>
      <c r="AN30" s="175"/>
    </row>
    <row r="31" spans="1:40" ht="18" x14ac:dyDescent="0.15">
      <c r="A31" s="470" t="s">
        <v>101</v>
      </c>
      <c r="B31" s="471"/>
      <c r="C31" s="84">
        <f>IF($B$15=1,0,(VLOOKUP($I$19,Tablas!$A$84:$I$150,3,TRUE)))</f>
        <v>3570</v>
      </c>
      <c r="D31" s="84">
        <f>IF($B$15=1,0,(VLOOKUP($I$19,Tablas!$A$84:$I$150,4,TRUE)))</f>
        <v>2876</v>
      </c>
      <c r="E31" s="84">
        <f>IF($B$15=1,0,(VLOOKUP($I$19,Tablas!$A$84:$I$150,5,TRUE)))</f>
        <v>2226</v>
      </c>
      <c r="F31" s="84">
        <f>IF($B$15=1,0,(VLOOKUP($I$19,Tablas!$A$84:$I$150,6,TRUE)))</f>
        <v>1618</v>
      </c>
      <c r="G31" s="84">
        <f>IF($B$15=1,0,(VLOOKUP($I$19,Tablas!$A$84:$I$150,7,TRUE)))</f>
        <v>943</v>
      </c>
      <c r="H31" s="84">
        <f>IF($B$15=1,0,(VLOOKUP($I$19,Tablas!$A$84:$I$150,8,TRUE)))</f>
        <v>567</v>
      </c>
      <c r="I31" s="84">
        <f>IF($B$15=1,0,(VLOOKUP($I$19,Tablas!$A$84:$I$150,9,TRUE)))</f>
        <v>409</v>
      </c>
      <c r="J31" s="131"/>
      <c r="K31" s="111"/>
      <c r="L31" s="176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5"/>
      <c r="AA31" s="176"/>
      <c r="AB31" s="171"/>
      <c r="AC31" s="171"/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5"/>
    </row>
    <row r="32" spans="1:40" ht="18" x14ac:dyDescent="0.15">
      <c r="A32" s="470" t="s">
        <v>102</v>
      </c>
      <c r="B32" s="471"/>
      <c r="C32" s="84">
        <f>IF($B$17=0,0,(VLOOKUP($B$17,Tablas!$A$151:$I$153,3,TRUE)))</f>
        <v>1133</v>
      </c>
      <c r="D32" s="84">
        <f>IF($B$17=0,0,(VLOOKUP($B$17,Tablas!$A$151:$I$153,4,TRUE)))</f>
        <v>1057</v>
      </c>
      <c r="E32" s="84">
        <f>IF($B$17=0,0,(VLOOKUP($B$17,Tablas!$A$151:$I$153,5,TRUE)))</f>
        <v>715</v>
      </c>
      <c r="F32" s="84">
        <f>IF($B$17=0,0,(VLOOKUP($B$17,Tablas!$A$151:$I$153,6,TRUE)))</f>
        <v>649</v>
      </c>
      <c r="G32" s="84">
        <f>IF($B$17=0,0,(VLOOKUP($B$17,Tablas!$A$151:$I$153,7,TRUE)))</f>
        <v>381</v>
      </c>
      <c r="H32" s="84">
        <f>IF($B$17=0,0,(VLOOKUP($B$17,Tablas!$A$151:$I$153,8,TRUE)))</f>
        <v>254</v>
      </c>
      <c r="I32" s="84">
        <f>IF($B$17=0,0,(VLOOKUP($B$17,Tablas!$A$151:$I$153,9,TRUE)))</f>
        <v>169</v>
      </c>
      <c r="J32" s="131"/>
      <c r="K32" s="111"/>
      <c r="L32" s="176"/>
      <c r="M32" s="171"/>
      <c r="N32" s="171"/>
      <c r="O32" s="171"/>
      <c r="P32" s="171"/>
      <c r="Q32" s="171"/>
      <c r="R32" s="171"/>
      <c r="S32" s="177"/>
      <c r="T32" s="171"/>
      <c r="U32" s="171"/>
      <c r="V32" s="171"/>
      <c r="W32" s="171"/>
      <c r="X32" s="171"/>
      <c r="Y32" s="175"/>
      <c r="AA32" s="176"/>
      <c r="AB32" s="171"/>
      <c r="AC32" s="171"/>
      <c r="AD32" s="171"/>
      <c r="AE32" s="171"/>
      <c r="AF32" s="171"/>
      <c r="AG32" s="171"/>
      <c r="AH32" s="177"/>
      <c r="AI32" s="171"/>
      <c r="AJ32" s="171"/>
      <c r="AK32" s="171"/>
      <c r="AL32" s="171"/>
      <c r="AM32" s="171"/>
      <c r="AN32" s="175"/>
    </row>
    <row r="33" spans="1:40" ht="18" x14ac:dyDescent="0.15">
      <c r="A33" s="137" t="s">
        <v>103</v>
      </c>
      <c r="B33" s="137"/>
      <c r="C33" s="137">
        <f>SUM(C30:C32)</f>
        <v>8569</v>
      </c>
      <c r="D33" s="137">
        <f>SUM(D30:D32)</f>
        <v>7081</v>
      </c>
      <c r="E33" s="137">
        <f t="shared" ref="E33:I33" si="0">SUM(E30:E32)</f>
        <v>5417</v>
      </c>
      <c r="F33" s="137">
        <f t="shared" si="0"/>
        <v>4108</v>
      </c>
      <c r="G33" s="137">
        <f t="shared" si="0"/>
        <v>2454</v>
      </c>
      <c r="H33" s="137">
        <f t="shared" si="0"/>
        <v>1550</v>
      </c>
      <c r="I33" s="137">
        <f t="shared" si="0"/>
        <v>1138</v>
      </c>
      <c r="J33" s="131"/>
      <c r="K33" s="111"/>
      <c r="L33" s="176"/>
      <c r="M33" s="171"/>
      <c r="N33" s="171"/>
      <c r="O33" s="171"/>
      <c r="P33" s="171"/>
      <c r="Q33" s="171"/>
      <c r="R33" s="171"/>
      <c r="S33" s="85"/>
      <c r="T33" s="171"/>
      <c r="U33" s="171"/>
      <c r="V33" s="171"/>
      <c r="W33" s="171"/>
      <c r="X33" s="171"/>
      <c r="Y33" s="175"/>
      <c r="AA33" s="176"/>
      <c r="AB33" s="171"/>
      <c r="AC33" s="171"/>
      <c r="AD33" s="171"/>
      <c r="AE33" s="171"/>
      <c r="AF33" s="171"/>
      <c r="AG33" s="171"/>
      <c r="AH33" s="85"/>
      <c r="AI33" s="171"/>
      <c r="AJ33" s="171"/>
      <c r="AK33" s="171"/>
      <c r="AL33" s="171"/>
      <c r="AM33" s="171"/>
      <c r="AN33" s="175"/>
    </row>
    <row r="34" spans="1:40" ht="33" hidden="1" customHeight="1" thickBot="1" x14ac:dyDescent="0.2">
      <c r="A34" s="477" t="s">
        <v>104</v>
      </c>
      <c r="B34" s="478"/>
      <c r="C34" s="138">
        <f>IF('INGRESO DE DATOS'!$P$3,C33*-15%,0)</f>
        <v>0</v>
      </c>
      <c r="D34" s="138">
        <f>IF('INGRESO DE DATOS'!$P$3,D33*-15%,0)</f>
        <v>0</v>
      </c>
      <c r="E34" s="138">
        <f>IF('INGRESO DE DATOS'!$P$3,E33*-15%,0)</f>
        <v>0</v>
      </c>
      <c r="F34" s="220"/>
      <c r="G34" s="220"/>
      <c r="H34" s="220"/>
      <c r="I34" s="139">
        <f>IF('INGRESO DE DATOS'!$P$3,I33*-15%,0)</f>
        <v>0</v>
      </c>
      <c r="J34" s="131"/>
      <c r="K34" s="111"/>
      <c r="L34" s="178"/>
      <c r="M34" s="177"/>
      <c r="N34" s="177"/>
      <c r="O34" s="177"/>
      <c r="P34" s="177"/>
      <c r="Q34" s="177"/>
      <c r="R34" s="177"/>
      <c r="S34" s="85"/>
      <c r="T34" s="177"/>
      <c r="U34" s="177"/>
      <c r="V34" s="177"/>
      <c r="W34" s="177"/>
      <c r="X34" s="177"/>
      <c r="Y34" s="179"/>
      <c r="AA34" s="178"/>
      <c r="AB34" s="177"/>
      <c r="AC34" s="177"/>
      <c r="AD34" s="177"/>
      <c r="AE34" s="177"/>
      <c r="AF34" s="177"/>
      <c r="AG34" s="177"/>
      <c r="AH34" s="85"/>
      <c r="AI34" s="177"/>
      <c r="AJ34" s="177"/>
      <c r="AK34" s="177"/>
      <c r="AL34" s="177"/>
      <c r="AM34" s="177"/>
      <c r="AN34" s="179"/>
    </row>
    <row r="35" spans="1:40" ht="36" customHeight="1" x14ac:dyDescent="0.15">
      <c r="A35" s="509" t="s">
        <v>105</v>
      </c>
      <c r="B35" s="510"/>
      <c r="C35" s="156">
        <f>C33*Tablas!$AD$3</f>
        <v>342.76</v>
      </c>
      <c r="D35" s="156">
        <f>D33*Tablas!$AD$3</f>
        <v>283.24</v>
      </c>
      <c r="E35" s="156">
        <f>E33*Tablas!$AD$3</f>
        <v>216.68</v>
      </c>
      <c r="F35" s="156">
        <f>F33*Tablas!$AD$3</f>
        <v>164.32</v>
      </c>
      <c r="G35" s="156">
        <f>G33*Tablas!$AD$3</f>
        <v>98.16</v>
      </c>
      <c r="H35" s="156">
        <f>H33*Tablas!$AD$3</f>
        <v>62</v>
      </c>
      <c r="I35" s="156">
        <f>I33*Tablas!$AD$3</f>
        <v>45.52</v>
      </c>
      <c r="J35" s="132"/>
      <c r="K35" s="112"/>
      <c r="L35" s="16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164"/>
      <c r="AA35" s="16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164"/>
    </row>
    <row r="36" spans="1:40" s="73" customFormat="1" ht="18" hidden="1" customHeight="1" x14ac:dyDescent="0.15">
      <c r="A36" s="511" t="s">
        <v>106</v>
      </c>
      <c r="B36" s="511"/>
      <c r="C36" s="84"/>
      <c r="D36" s="84"/>
      <c r="E36" s="84"/>
      <c r="F36" s="84"/>
      <c r="G36" s="84"/>
      <c r="H36" s="84"/>
      <c r="I36" s="84"/>
      <c r="J36" s="131"/>
      <c r="K36" s="111"/>
      <c r="L36" s="16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164"/>
      <c r="AA36" s="16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164"/>
    </row>
    <row r="37" spans="1:40" ht="19" hidden="1" customHeight="1" thickBot="1" x14ac:dyDescent="0.2">
      <c r="A37" s="512" t="s">
        <v>107</v>
      </c>
      <c r="B37" s="512"/>
      <c r="C37" s="140"/>
      <c r="D37" s="140"/>
      <c r="E37" s="140"/>
      <c r="F37" s="140"/>
      <c r="G37" s="140"/>
      <c r="H37" s="140"/>
      <c r="I37" s="140"/>
      <c r="J37" s="131"/>
      <c r="K37" s="111"/>
      <c r="L37" s="165"/>
      <c r="M37" s="85"/>
      <c r="N37" s="85"/>
      <c r="O37" s="85"/>
      <c r="P37" s="85"/>
      <c r="Q37" s="85"/>
      <c r="R37" s="85"/>
      <c r="S37" s="180"/>
      <c r="T37" s="85"/>
      <c r="U37" s="85"/>
      <c r="V37" s="85"/>
      <c r="W37" s="85"/>
      <c r="X37" s="85"/>
      <c r="Y37" s="164"/>
      <c r="AA37" s="165"/>
      <c r="AB37" s="85"/>
      <c r="AC37" s="85"/>
      <c r="AD37" s="85"/>
      <c r="AE37" s="85"/>
      <c r="AF37" s="85"/>
      <c r="AG37" s="85"/>
      <c r="AH37" s="180"/>
      <c r="AI37" s="85"/>
      <c r="AJ37" s="85"/>
      <c r="AK37" s="85"/>
      <c r="AL37" s="85"/>
      <c r="AM37" s="85"/>
      <c r="AN37" s="164"/>
    </row>
    <row r="38" spans="1:40" ht="18" x14ac:dyDescent="0.15">
      <c r="A38" s="141" t="s">
        <v>108</v>
      </c>
      <c r="B38" s="141"/>
      <c r="C38" s="141">
        <f>SUM(C33:C37)</f>
        <v>8911.76</v>
      </c>
      <c r="D38" s="141">
        <f t="shared" ref="D38:I38" si="1">SUM(D33:D37)</f>
        <v>7364.24</v>
      </c>
      <c r="E38" s="141">
        <f t="shared" si="1"/>
        <v>5633.68</v>
      </c>
      <c r="F38" s="141">
        <f t="shared" si="1"/>
        <v>4272.32</v>
      </c>
      <c r="G38" s="141">
        <f t="shared" si="1"/>
        <v>2552.16</v>
      </c>
      <c r="H38" s="141">
        <f t="shared" si="1"/>
        <v>1612</v>
      </c>
      <c r="I38" s="141">
        <f t="shared" si="1"/>
        <v>1183.52</v>
      </c>
      <c r="J38" s="132"/>
      <c r="K38" s="112"/>
      <c r="L38" s="165"/>
      <c r="M38" s="85"/>
      <c r="N38" s="85"/>
      <c r="O38" s="85"/>
      <c r="P38" s="85"/>
      <c r="Q38" s="85"/>
      <c r="R38" s="85"/>
      <c r="S38" s="180"/>
      <c r="T38" s="85"/>
      <c r="U38" s="85"/>
      <c r="V38" s="85"/>
      <c r="W38" s="85"/>
      <c r="X38" s="85"/>
      <c r="Y38" s="164"/>
      <c r="AA38" s="165"/>
      <c r="AB38" s="85"/>
      <c r="AC38" s="85"/>
      <c r="AD38" s="85"/>
      <c r="AE38" s="85"/>
      <c r="AF38" s="85"/>
      <c r="AG38" s="85"/>
      <c r="AH38" s="180"/>
      <c r="AI38" s="85"/>
      <c r="AJ38" s="85"/>
      <c r="AK38" s="85"/>
      <c r="AL38" s="85"/>
      <c r="AM38" s="85"/>
      <c r="AN38" s="164"/>
    </row>
    <row r="39" spans="1:40" ht="18" x14ac:dyDescent="0.15">
      <c r="A39" s="15"/>
      <c r="B39" s="15"/>
      <c r="C39" s="15"/>
      <c r="D39" s="15"/>
      <c r="E39" s="15"/>
      <c r="F39" s="15"/>
      <c r="G39" s="15"/>
      <c r="H39" s="15"/>
      <c r="I39" s="142"/>
      <c r="J39" s="132"/>
      <c r="K39" s="112"/>
      <c r="L39" s="16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164"/>
      <c r="AA39" s="16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164"/>
    </row>
    <row r="40" spans="1:40" ht="18" x14ac:dyDescent="0.15">
      <c r="A40" s="483" t="s">
        <v>80</v>
      </c>
      <c r="B40" s="483"/>
      <c r="C40" s="483"/>
      <c r="D40" s="483"/>
      <c r="E40" s="483"/>
      <c r="F40" s="483"/>
      <c r="G40" s="483"/>
      <c r="H40" s="483"/>
      <c r="I40" s="483"/>
      <c r="L40" s="181"/>
      <c r="M40" s="180"/>
      <c r="N40" s="180"/>
      <c r="O40" s="180"/>
      <c r="P40" s="180"/>
      <c r="Q40" s="180"/>
      <c r="R40" s="180"/>
      <c r="S40" s="85"/>
      <c r="T40" s="180"/>
      <c r="U40" s="180"/>
      <c r="V40" s="180"/>
      <c r="W40" s="180"/>
      <c r="X40" s="180"/>
      <c r="Y40" s="182"/>
      <c r="AA40" s="181"/>
      <c r="AB40" s="180"/>
      <c r="AC40" s="180"/>
      <c r="AD40" s="180"/>
      <c r="AE40" s="180"/>
      <c r="AF40" s="180"/>
      <c r="AG40" s="180"/>
      <c r="AH40" s="85"/>
      <c r="AI40" s="180"/>
      <c r="AJ40" s="180"/>
      <c r="AK40" s="180"/>
      <c r="AL40" s="180"/>
      <c r="AM40" s="180"/>
      <c r="AN40" s="182"/>
    </row>
    <row r="41" spans="1:40" s="73" customFormat="1" ht="18" x14ac:dyDescent="0.15">
      <c r="A41" s="470" t="s">
        <v>100</v>
      </c>
      <c r="B41" s="471"/>
      <c r="C41" s="84">
        <f>(C30-60-50)*Tablas!$M$4+(60/2)+50</f>
        <v>2014.3400000000001</v>
      </c>
      <c r="D41" s="84">
        <f>(D30-60-50)*Tablas!$M$4+(60/2)+50</f>
        <v>1644.57</v>
      </c>
      <c r="E41" s="84">
        <f>(E30-60-50)*Tablas!$M$4+(60/2)+50</f>
        <v>1298.49</v>
      </c>
      <c r="F41" s="84">
        <f>(F30-60-50)*Tablas!$M$4+(60/2)+50</f>
        <v>971.46500000000003</v>
      </c>
      <c r="G41" s="84">
        <f>(G30-60-50)*Tablas!$M$4+(60/2)+50</f>
        <v>605.30000000000007</v>
      </c>
      <c r="H41" s="84">
        <f>(H30-60-50)*Tablas!$M$4+(60/2)+50</f>
        <v>398.78500000000003</v>
      </c>
      <c r="I41" s="84">
        <f>(I30-60-50)*Tablas!$M$4+(60/2)+50</f>
        <v>311.75</v>
      </c>
      <c r="J41" s="130"/>
      <c r="K41" s="69"/>
      <c r="L41" s="16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164"/>
      <c r="AA41" s="16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164"/>
    </row>
    <row r="42" spans="1:40" ht="18" x14ac:dyDescent="0.15">
      <c r="A42" s="470" t="s">
        <v>101</v>
      </c>
      <c r="B42" s="471"/>
      <c r="C42" s="84">
        <f>C31*Tablas!$M$4</f>
        <v>1838.55</v>
      </c>
      <c r="D42" s="84">
        <f>D31*Tablas!$M$4</f>
        <v>1481.14</v>
      </c>
      <c r="E42" s="84">
        <f>E31*Tablas!$M$4</f>
        <v>1146.3900000000001</v>
      </c>
      <c r="F42" s="84">
        <f>F31*Tablas!$M$4</f>
        <v>833.27</v>
      </c>
      <c r="G42" s="84">
        <f>G31*Tablas!$M$4</f>
        <v>485.64500000000004</v>
      </c>
      <c r="H42" s="84">
        <f>H31*Tablas!$M$4</f>
        <v>292.005</v>
      </c>
      <c r="I42" s="84">
        <f>I31*Tablas!$M$4</f>
        <v>210.63500000000002</v>
      </c>
      <c r="J42" s="131"/>
      <c r="K42" s="111"/>
      <c r="L42" s="16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164"/>
      <c r="AA42" s="16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164"/>
    </row>
    <row r="43" spans="1:40" ht="18" x14ac:dyDescent="0.15">
      <c r="A43" s="470" t="s">
        <v>102</v>
      </c>
      <c r="B43" s="471"/>
      <c r="C43" s="84">
        <f>C32*Tablas!$M$4</f>
        <v>583.495</v>
      </c>
      <c r="D43" s="84">
        <f>D32*Tablas!$M$4</f>
        <v>544.35500000000002</v>
      </c>
      <c r="E43" s="84">
        <f>E32*Tablas!$M$4</f>
        <v>368.22500000000002</v>
      </c>
      <c r="F43" s="84">
        <f>F32*Tablas!$M$4</f>
        <v>334.23500000000001</v>
      </c>
      <c r="G43" s="84">
        <f>G32*Tablas!$M$4</f>
        <v>196.215</v>
      </c>
      <c r="H43" s="84">
        <f>H32*Tablas!$M$4</f>
        <v>130.81</v>
      </c>
      <c r="I43" s="84">
        <f>I32*Tablas!$M$4</f>
        <v>87.034999999999997</v>
      </c>
      <c r="J43" s="131"/>
      <c r="K43" s="111"/>
      <c r="L43" s="165"/>
      <c r="M43" s="85"/>
      <c r="N43" s="85"/>
      <c r="O43" s="85"/>
      <c r="P43" s="85"/>
      <c r="Q43" s="85"/>
      <c r="R43" s="85"/>
      <c r="S43" s="180"/>
      <c r="T43" s="85"/>
      <c r="U43" s="85"/>
      <c r="V43" s="85"/>
      <c r="W43" s="85"/>
      <c r="X43" s="85"/>
      <c r="Y43" s="164"/>
      <c r="AA43" s="165"/>
      <c r="AB43" s="85"/>
      <c r="AC43" s="85"/>
      <c r="AD43" s="85"/>
      <c r="AE43" s="85"/>
      <c r="AF43" s="85"/>
      <c r="AG43" s="85"/>
      <c r="AH43" s="180"/>
      <c r="AI43" s="85"/>
      <c r="AJ43" s="85"/>
      <c r="AK43" s="85"/>
      <c r="AL43" s="85"/>
      <c r="AM43" s="85"/>
      <c r="AN43" s="164"/>
    </row>
    <row r="44" spans="1:40" ht="18" x14ac:dyDescent="0.15">
      <c r="A44" s="137" t="s">
        <v>103</v>
      </c>
      <c r="B44" s="137"/>
      <c r="C44" s="137">
        <f>SUM(C41:C43)</f>
        <v>4436.3850000000002</v>
      </c>
      <c r="D44" s="137">
        <f t="shared" ref="D44:I44" si="2">SUM(D41:D43)</f>
        <v>3670.0650000000001</v>
      </c>
      <c r="E44" s="137">
        <f t="shared" si="2"/>
        <v>2813.105</v>
      </c>
      <c r="F44" s="137">
        <f t="shared" si="2"/>
        <v>2138.9700000000003</v>
      </c>
      <c r="G44" s="137">
        <f t="shared" si="2"/>
        <v>1287.1600000000001</v>
      </c>
      <c r="H44" s="137">
        <f t="shared" si="2"/>
        <v>821.59999999999991</v>
      </c>
      <c r="I44" s="137">
        <f t="shared" si="2"/>
        <v>609.41999999999996</v>
      </c>
      <c r="J44" s="131"/>
      <c r="K44" s="111"/>
      <c r="L44" s="16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164"/>
      <c r="AA44" s="16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164"/>
    </row>
    <row r="45" spans="1:40" ht="31" hidden="1" customHeight="1" thickBot="1" x14ac:dyDescent="0.2">
      <c r="A45" s="477" t="s">
        <v>104</v>
      </c>
      <c r="B45" s="478"/>
      <c r="C45" s="138">
        <f>IF('INGRESO DE DATOS'!$P$3,C44*-15%,0)</f>
        <v>0</v>
      </c>
      <c r="D45" s="138">
        <f>IF('INGRESO DE DATOS'!$P$3,D44*-15%,0)</f>
        <v>0</v>
      </c>
      <c r="E45" s="138">
        <f>IF('INGRESO DE DATOS'!$P$3,E44*-15%,0)</f>
        <v>0</v>
      </c>
      <c r="F45" s="220"/>
      <c r="G45" s="220"/>
      <c r="H45" s="220"/>
      <c r="I45" s="139">
        <f>IF('INGRESO DE DATOS'!$P$3,I44*-15%,0)</f>
        <v>0</v>
      </c>
      <c r="J45" s="131"/>
      <c r="K45" s="111"/>
      <c r="L45" s="181"/>
      <c r="M45" s="180"/>
      <c r="N45" s="180"/>
      <c r="O45" s="180"/>
      <c r="P45" s="180"/>
      <c r="Q45" s="180"/>
      <c r="R45" s="180"/>
      <c r="S45" s="85"/>
      <c r="T45" s="180"/>
      <c r="U45" s="180"/>
      <c r="V45" s="180"/>
      <c r="W45" s="180"/>
      <c r="X45" s="180"/>
      <c r="Y45" s="182"/>
      <c r="AA45" s="181"/>
      <c r="AB45" s="180"/>
      <c r="AC45" s="180"/>
      <c r="AD45" s="180"/>
      <c r="AE45" s="180"/>
      <c r="AF45" s="180"/>
      <c r="AG45" s="180"/>
      <c r="AH45" s="85"/>
      <c r="AI45" s="180"/>
      <c r="AJ45" s="180"/>
      <c r="AK45" s="180"/>
      <c r="AL45" s="180"/>
      <c r="AM45" s="180"/>
      <c r="AN45" s="182"/>
    </row>
    <row r="46" spans="1:40" ht="36.75" customHeight="1" thickBot="1" x14ac:dyDescent="0.2">
      <c r="A46" s="507" t="str">
        <f>A35</f>
        <v>Contribución 3.5% Superintendencia de Bancos
 Contribución 0.5% Seguro Social Campesino</v>
      </c>
      <c r="B46" s="508"/>
      <c r="C46" s="156">
        <f>C44*Tablas!$AD$3</f>
        <v>177.45540000000003</v>
      </c>
      <c r="D46" s="156">
        <f>D44*Tablas!$AD$3</f>
        <v>146.80260000000001</v>
      </c>
      <c r="E46" s="156">
        <f>E44*Tablas!$AD$3</f>
        <v>112.52420000000001</v>
      </c>
      <c r="F46" s="156">
        <f>F44*Tablas!$AD$3</f>
        <v>85.558800000000005</v>
      </c>
      <c r="G46" s="156">
        <f>G44*Tablas!$AD$3</f>
        <v>51.486400000000003</v>
      </c>
      <c r="H46" s="156">
        <f>H44*Tablas!$AD$3</f>
        <v>32.863999999999997</v>
      </c>
      <c r="I46" s="156">
        <f>I44*Tablas!$AD$3</f>
        <v>24.376799999999999</v>
      </c>
      <c r="J46" s="132"/>
      <c r="K46" s="112"/>
      <c r="L46" s="16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164"/>
      <c r="AA46" s="16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164"/>
    </row>
    <row r="47" spans="1:40" s="73" customFormat="1" ht="18" hidden="1" customHeight="1" x14ac:dyDescent="0.15">
      <c r="A47" s="470" t="s">
        <v>106</v>
      </c>
      <c r="B47" s="471"/>
      <c r="C47" s="84"/>
      <c r="D47" s="84"/>
      <c r="E47" s="84"/>
      <c r="F47" s="84"/>
      <c r="G47" s="84"/>
      <c r="H47" s="84"/>
      <c r="I47" s="84"/>
      <c r="J47" s="131"/>
      <c r="K47" s="111"/>
      <c r="L47" s="16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164"/>
      <c r="AA47" s="16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164"/>
    </row>
    <row r="48" spans="1:40" ht="19" hidden="1" customHeight="1" thickBot="1" x14ac:dyDescent="0.2">
      <c r="A48" s="475" t="s">
        <v>107</v>
      </c>
      <c r="B48" s="476"/>
      <c r="C48" s="140"/>
      <c r="D48" s="140"/>
      <c r="E48" s="140"/>
      <c r="F48" s="140"/>
      <c r="G48" s="140"/>
      <c r="H48" s="140"/>
      <c r="I48" s="140"/>
      <c r="J48" s="131"/>
      <c r="K48" s="111"/>
      <c r="L48" s="165"/>
      <c r="M48" s="85"/>
      <c r="N48" s="85"/>
      <c r="O48" s="85"/>
      <c r="P48" s="85"/>
      <c r="Q48" s="85"/>
      <c r="R48" s="85"/>
      <c r="S48" s="180"/>
      <c r="T48" s="85"/>
      <c r="U48" s="85"/>
      <c r="V48" s="85"/>
      <c r="W48" s="85"/>
      <c r="X48" s="85"/>
      <c r="Y48" s="164"/>
      <c r="AA48" s="165"/>
      <c r="AB48" s="85"/>
      <c r="AC48" s="85"/>
      <c r="AD48" s="85"/>
      <c r="AE48" s="85"/>
      <c r="AF48" s="85"/>
      <c r="AG48" s="85"/>
      <c r="AH48" s="180"/>
      <c r="AI48" s="85"/>
      <c r="AJ48" s="85"/>
      <c r="AK48" s="85"/>
      <c r="AL48" s="85"/>
      <c r="AM48" s="85"/>
      <c r="AN48" s="164"/>
    </row>
    <row r="49" spans="1:40" ht="19" thickBot="1" x14ac:dyDescent="0.2">
      <c r="A49" s="143" t="s">
        <v>81</v>
      </c>
      <c r="B49" s="143"/>
      <c r="C49" s="144">
        <f>SUM(C44:C48)</f>
        <v>4613.8404</v>
      </c>
      <c r="D49" s="144">
        <f t="shared" ref="D49:I49" si="3">SUM(D44:D48)</f>
        <v>3816.8676</v>
      </c>
      <c r="E49" s="144">
        <f t="shared" si="3"/>
        <v>2925.6291999999999</v>
      </c>
      <c r="F49" s="144">
        <f t="shared" si="3"/>
        <v>2224.5288</v>
      </c>
      <c r="G49" s="144">
        <f t="shared" si="3"/>
        <v>1338.6464000000001</v>
      </c>
      <c r="H49" s="144">
        <f t="shared" si="3"/>
        <v>854.46399999999994</v>
      </c>
      <c r="I49" s="144">
        <f t="shared" si="3"/>
        <v>633.79679999999996</v>
      </c>
      <c r="J49" s="132"/>
      <c r="K49" s="112"/>
      <c r="L49" s="16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164"/>
      <c r="AA49" s="16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164"/>
    </row>
    <row r="50" spans="1:40" ht="19" thickBot="1" x14ac:dyDescent="0.2">
      <c r="A50" s="145" t="s">
        <v>82</v>
      </c>
      <c r="B50" s="145"/>
      <c r="C50" s="145">
        <f>C44+C46-52</f>
        <v>4561.8404</v>
      </c>
      <c r="D50" s="145">
        <f t="shared" ref="D50:I50" si="4">D44+D46-52</f>
        <v>3764.8676</v>
      </c>
      <c r="E50" s="145">
        <f t="shared" si="4"/>
        <v>2873.6291999999999</v>
      </c>
      <c r="F50" s="145">
        <f t="shared" si="4"/>
        <v>2172.5288</v>
      </c>
      <c r="G50" s="145">
        <f t="shared" si="4"/>
        <v>1286.6464000000001</v>
      </c>
      <c r="H50" s="145">
        <f t="shared" si="4"/>
        <v>802.46399999999994</v>
      </c>
      <c r="I50" s="145">
        <f t="shared" si="4"/>
        <v>581.79679999999996</v>
      </c>
      <c r="J50" s="130"/>
      <c r="K50" s="69"/>
      <c r="L50" s="16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164"/>
      <c r="AA50" s="16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164"/>
    </row>
    <row r="51" spans="1:40" ht="18" x14ac:dyDescent="0.15">
      <c r="A51" s="141" t="s">
        <v>108</v>
      </c>
      <c r="B51" s="141"/>
      <c r="C51" s="141">
        <f>C49+C50</f>
        <v>9175.6808000000001</v>
      </c>
      <c r="D51" s="141">
        <f t="shared" ref="D51:I51" si="5">D49+D50</f>
        <v>7581.7352000000001</v>
      </c>
      <c r="E51" s="141">
        <f t="shared" si="5"/>
        <v>5799.2583999999997</v>
      </c>
      <c r="F51" s="141">
        <f t="shared" si="5"/>
        <v>4397.0576000000001</v>
      </c>
      <c r="G51" s="141">
        <f t="shared" si="5"/>
        <v>2625.2928000000002</v>
      </c>
      <c r="H51" s="141">
        <f t="shared" si="5"/>
        <v>1656.9279999999999</v>
      </c>
      <c r="I51" s="141">
        <f t="shared" si="5"/>
        <v>1215.5935999999999</v>
      </c>
      <c r="L51" s="181"/>
      <c r="M51" s="180"/>
      <c r="N51" s="180"/>
      <c r="O51" s="180"/>
      <c r="P51" s="180"/>
      <c r="Q51" s="180"/>
      <c r="R51" s="180"/>
      <c r="S51" s="180"/>
      <c r="T51" s="180"/>
      <c r="U51" s="180"/>
      <c r="V51" s="180"/>
      <c r="W51" s="180"/>
      <c r="X51" s="180"/>
      <c r="Y51" s="182"/>
      <c r="AA51" s="181"/>
      <c r="AB51" s="180"/>
      <c r="AC51" s="180"/>
      <c r="AD51" s="180"/>
      <c r="AE51" s="180"/>
      <c r="AF51" s="180"/>
      <c r="AG51" s="180"/>
      <c r="AH51" s="180"/>
      <c r="AI51" s="180"/>
      <c r="AJ51" s="180"/>
      <c r="AK51" s="180"/>
      <c r="AL51" s="180"/>
      <c r="AM51" s="180"/>
      <c r="AN51" s="182"/>
    </row>
    <row r="52" spans="1:40" ht="18" x14ac:dyDescent="0.15">
      <c r="A52" s="15"/>
      <c r="B52" s="15"/>
      <c r="C52" s="15"/>
      <c r="D52" s="15"/>
      <c r="E52" s="15"/>
      <c r="F52" s="15"/>
      <c r="G52" s="15"/>
      <c r="H52" s="15"/>
      <c r="I52" s="146"/>
      <c r="J52" s="130"/>
      <c r="K52" s="69"/>
      <c r="L52" s="185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4"/>
      <c r="AA52" s="185"/>
      <c r="AB52" s="183"/>
      <c r="AC52" s="183"/>
      <c r="AD52" s="183"/>
      <c r="AE52" s="183"/>
      <c r="AF52" s="183"/>
      <c r="AG52" s="183"/>
      <c r="AH52" s="183"/>
      <c r="AI52" s="183"/>
      <c r="AJ52" s="183"/>
      <c r="AK52" s="183"/>
      <c r="AL52" s="183"/>
      <c r="AM52" s="183"/>
      <c r="AN52" s="184"/>
    </row>
    <row r="53" spans="1:40" ht="18" x14ac:dyDescent="0.15">
      <c r="A53" s="483" t="s">
        <v>84</v>
      </c>
      <c r="B53" s="483"/>
      <c r="C53" s="483"/>
      <c r="D53" s="483"/>
      <c r="E53" s="483"/>
      <c r="F53" s="483"/>
      <c r="G53" s="483"/>
      <c r="H53" s="483"/>
      <c r="I53" s="483"/>
      <c r="J53" s="131"/>
      <c r="K53" s="111"/>
    </row>
    <row r="54" spans="1:40" s="73" customFormat="1" ht="18" x14ac:dyDescent="0.15">
      <c r="A54" s="470" t="s">
        <v>100</v>
      </c>
      <c r="B54" s="471"/>
      <c r="C54" s="84">
        <f>(C30-60-50)*Tablas!$M$3+(60/4)+50</f>
        <v>1046.2549999999999</v>
      </c>
      <c r="D54" s="84">
        <f>(D30-60-50)*Tablas!$M$3+(60/4)+50</f>
        <v>858.6774999999999</v>
      </c>
      <c r="E54" s="84">
        <f>(E30-60-50)*Tablas!$M$3+(60/4)+50</f>
        <v>683.11749999999995</v>
      </c>
      <c r="F54" s="84">
        <f>(F30-60-50)*Tablas!$M$3+(60/4)+50</f>
        <v>517.22375</v>
      </c>
      <c r="G54" s="84">
        <f>(G30-60-50)*Tablas!$M$3+(60/4)+50</f>
        <v>331.47499999999997</v>
      </c>
      <c r="H54" s="84">
        <f>(H30-60-50)*Tablas!$M$3+(60/4)+50</f>
        <v>226.71374999999998</v>
      </c>
      <c r="I54" s="84">
        <f>(I30-60-50)*Tablas!$M$3+(60/4)+50</f>
        <v>182.5625</v>
      </c>
      <c r="J54" s="131"/>
      <c r="K54" s="111"/>
      <c r="L54" s="71"/>
      <c r="M54" s="71"/>
      <c r="N54" s="71"/>
      <c r="O54" s="71"/>
      <c r="P54" s="71"/>
      <c r="Q54" s="71"/>
      <c r="R54" s="71"/>
      <c r="T54" s="71"/>
      <c r="U54" s="71"/>
      <c r="V54" s="71"/>
      <c r="W54" s="71"/>
      <c r="X54" s="71"/>
      <c r="Y54" s="71"/>
    </row>
    <row r="55" spans="1:40" ht="18" x14ac:dyDescent="0.15">
      <c r="A55" s="470" t="s">
        <v>101</v>
      </c>
      <c r="B55" s="471"/>
      <c r="C55" s="84">
        <f>C31*Tablas!$M$3</f>
        <v>932.66249999999991</v>
      </c>
      <c r="D55" s="84">
        <f>D31*Tablas!$M$3</f>
        <v>751.3549999999999</v>
      </c>
      <c r="E55" s="84">
        <f>E31*Tablas!$M$3</f>
        <v>581.5424999999999</v>
      </c>
      <c r="F55" s="84">
        <f>F31*Tablas!$M$3</f>
        <v>422.70249999999999</v>
      </c>
      <c r="G55" s="84">
        <f>G31*Tablas!$M$3</f>
        <v>246.35874999999999</v>
      </c>
      <c r="H55" s="84">
        <f>H31*Tablas!$M$3</f>
        <v>148.12875</v>
      </c>
      <c r="I55" s="84">
        <f>I31*Tablas!$M$3</f>
        <v>106.85124999999999</v>
      </c>
      <c r="J55" s="131"/>
      <c r="K55" s="111"/>
    </row>
    <row r="56" spans="1:40" ht="18" x14ac:dyDescent="0.15">
      <c r="A56" s="470" t="s">
        <v>102</v>
      </c>
      <c r="B56" s="471"/>
      <c r="C56" s="84">
        <f>C32*Tablas!$M$3</f>
        <v>295.99624999999997</v>
      </c>
      <c r="D56" s="84">
        <f>D32*Tablas!$M$3</f>
        <v>276.14124999999996</v>
      </c>
      <c r="E56" s="84">
        <f>E32*Tablas!$M$3</f>
        <v>186.79374999999999</v>
      </c>
      <c r="F56" s="84">
        <f>F32*Tablas!$M$3</f>
        <v>169.55124999999998</v>
      </c>
      <c r="G56" s="84">
        <f>G32*Tablas!$M$3</f>
        <v>99.536249999999995</v>
      </c>
      <c r="H56" s="84">
        <f>H32*Tablas!$M$3</f>
        <v>66.357500000000002</v>
      </c>
      <c r="I56" s="84">
        <f>I32*Tablas!$M$3</f>
        <v>44.151249999999997</v>
      </c>
      <c r="J56" s="132"/>
      <c r="K56" s="112"/>
    </row>
    <row r="57" spans="1:40" ht="18" x14ac:dyDescent="0.15">
      <c r="A57" s="490" t="s">
        <v>103</v>
      </c>
      <c r="B57" s="490"/>
      <c r="C57" s="137">
        <f>SUM(C54:C56)</f>
        <v>2274.9137499999997</v>
      </c>
      <c r="D57" s="137">
        <f t="shared" ref="D57:I57" si="6">SUM(D54:D56)</f>
        <v>1886.1737499999997</v>
      </c>
      <c r="E57" s="137">
        <f t="shared" si="6"/>
        <v>1451.4537499999999</v>
      </c>
      <c r="F57" s="137">
        <f t="shared" si="6"/>
        <v>1109.4775</v>
      </c>
      <c r="G57" s="137">
        <f t="shared" si="6"/>
        <v>677.37</v>
      </c>
      <c r="H57" s="137">
        <f t="shared" si="6"/>
        <v>441.2</v>
      </c>
      <c r="I57" s="137">
        <f t="shared" si="6"/>
        <v>333.565</v>
      </c>
      <c r="J57" s="131"/>
      <c r="K57" s="111"/>
    </row>
    <row r="58" spans="1:40" ht="33" hidden="1" customHeight="1" thickBot="1" x14ac:dyDescent="0.2">
      <c r="A58" s="477" t="s">
        <v>104</v>
      </c>
      <c r="B58" s="478"/>
      <c r="C58" s="138">
        <f>IF('INGRESO DE DATOS'!$P$3,C57*-15%,0)</f>
        <v>0</v>
      </c>
      <c r="D58" s="138">
        <f>IF('INGRESO DE DATOS'!$P$3,D57*-15%,0)</f>
        <v>0</v>
      </c>
      <c r="E58" s="138">
        <f>IF('INGRESO DE DATOS'!$P$3,E57*-15%,0)</f>
        <v>0</v>
      </c>
      <c r="F58" s="220"/>
      <c r="G58" s="220"/>
      <c r="H58" s="220"/>
      <c r="I58" s="139">
        <f>IF('INGRESO DE DATOS'!$P$3,I57*-15%,0)</f>
        <v>0</v>
      </c>
      <c r="J58" s="131"/>
      <c r="K58" s="111"/>
      <c r="L58" s="73"/>
      <c r="M58" s="73"/>
      <c r="N58" s="73"/>
      <c r="O58" s="73"/>
      <c r="P58" s="73"/>
      <c r="Q58" s="73"/>
      <c r="R58" s="73"/>
      <c r="T58" s="73"/>
      <c r="U58" s="73"/>
      <c r="V58" s="73"/>
      <c r="W58" s="73"/>
      <c r="X58" s="73"/>
      <c r="Y58" s="73"/>
    </row>
    <row r="59" spans="1:40" ht="36.75" customHeight="1" thickBot="1" x14ac:dyDescent="0.2">
      <c r="A59" s="491" t="str">
        <f>A35</f>
        <v>Contribución 3.5% Superintendencia de Bancos
 Contribución 0.5% Seguro Social Campesino</v>
      </c>
      <c r="B59" s="491"/>
      <c r="C59" s="156">
        <f>C57*Tablas!$AD$3</f>
        <v>90.996549999999985</v>
      </c>
      <c r="D59" s="156">
        <f>D57*Tablas!$AD$3</f>
        <v>75.446949999999987</v>
      </c>
      <c r="E59" s="156">
        <f>E57*Tablas!$AD$3</f>
        <v>58.058149999999998</v>
      </c>
      <c r="F59" s="156">
        <f>F57*Tablas!$AD$3</f>
        <v>44.379100000000001</v>
      </c>
      <c r="G59" s="156">
        <f>G57*Tablas!$AD$3</f>
        <v>27.094799999999999</v>
      </c>
      <c r="H59" s="156">
        <f>H57*Tablas!$AD$3</f>
        <v>17.648</v>
      </c>
      <c r="I59" s="156">
        <f>I57*Tablas!$AD$3</f>
        <v>13.342600000000001</v>
      </c>
      <c r="J59" s="131"/>
      <c r="K59" s="111"/>
      <c r="S59" s="73"/>
    </row>
    <row r="60" spans="1:40" s="73" customFormat="1" ht="18" hidden="1" customHeight="1" x14ac:dyDescent="0.15">
      <c r="A60" s="470" t="s">
        <v>106</v>
      </c>
      <c r="B60" s="471"/>
      <c r="C60" s="84"/>
      <c r="D60" s="84"/>
      <c r="E60" s="84"/>
      <c r="F60" s="84"/>
      <c r="G60" s="84"/>
      <c r="H60" s="84"/>
      <c r="I60" s="84"/>
      <c r="J60" s="132"/>
      <c r="K60" s="112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</row>
    <row r="61" spans="1:40" ht="19" hidden="1" customHeight="1" thickBot="1" x14ac:dyDescent="0.2">
      <c r="A61" s="475" t="s">
        <v>107</v>
      </c>
      <c r="B61" s="476"/>
      <c r="C61" s="140"/>
      <c r="D61" s="140"/>
      <c r="E61" s="140"/>
      <c r="F61" s="140"/>
      <c r="G61" s="140"/>
      <c r="H61" s="140"/>
      <c r="I61" s="140"/>
      <c r="J61" s="132"/>
      <c r="K61" s="112"/>
    </row>
    <row r="62" spans="1:40" ht="19" thickBot="1" x14ac:dyDescent="0.2">
      <c r="A62" s="143" t="s">
        <v>81</v>
      </c>
      <c r="B62" s="143"/>
      <c r="C62" s="144">
        <f>SUM(C57:C61)</f>
        <v>2365.9102999999996</v>
      </c>
      <c r="D62" s="144">
        <f t="shared" ref="D62:I62" si="7">SUM(D57:D61)</f>
        <v>1961.6206999999997</v>
      </c>
      <c r="E62" s="144">
        <f t="shared" si="7"/>
        <v>1509.5119</v>
      </c>
      <c r="F62" s="144">
        <f t="shared" si="7"/>
        <v>1153.8566000000001</v>
      </c>
      <c r="G62" s="144">
        <f t="shared" si="7"/>
        <v>704.46479999999997</v>
      </c>
      <c r="H62" s="144">
        <f t="shared" si="7"/>
        <v>458.84800000000001</v>
      </c>
      <c r="I62" s="144">
        <f t="shared" si="7"/>
        <v>346.9076</v>
      </c>
    </row>
    <row r="63" spans="1:40" ht="19" thickBot="1" x14ac:dyDescent="0.2">
      <c r="A63" s="145" t="s">
        <v>85</v>
      </c>
      <c r="B63" s="145"/>
      <c r="C63" s="145">
        <f>C57+C59-52</f>
        <v>2313.9102999999996</v>
      </c>
      <c r="D63" s="145">
        <f t="shared" ref="D63:I63" si="8">D57+D59-52</f>
        <v>1909.6206999999997</v>
      </c>
      <c r="E63" s="145">
        <f t="shared" si="8"/>
        <v>1457.5119</v>
      </c>
      <c r="F63" s="145">
        <f t="shared" si="8"/>
        <v>1101.8566000000001</v>
      </c>
      <c r="G63" s="145">
        <f t="shared" si="8"/>
        <v>652.46479999999997</v>
      </c>
      <c r="H63" s="145">
        <f t="shared" si="8"/>
        <v>406.84800000000001</v>
      </c>
      <c r="I63" s="145">
        <f t="shared" si="8"/>
        <v>294.9076</v>
      </c>
      <c r="J63" s="130"/>
      <c r="K63" s="69"/>
      <c r="L63" s="73"/>
      <c r="M63" s="73"/>
      <c r="N63" s="73"/>
      <c r="O63" s="73"/>
      <c r="P63" s="73"/>
      <c r="Q63" s="73"/>
      <c r="R63" s="73"/>
      <c r="T63" s="73"/>
      <c r="U63" s="73"/>
      <c r="V63" s="73"/>
      <c r="W63" s="73"/>
      <c r="X63" s="73"/>
      <c r="Y63" s="73"/>
    </row>
    <row r="64" spans="1:40" ht="18" x14ac:dyDescent="0.15">
      <c r="A64" s="141" t="s">
        <v>108</v>
      </c>
      <c r="B64" s="141"/>
      <c r="C64" s="141">
        <f>C62+(C63*3)</f>
        <v>9307.6411999999982</v>
      </c>
      <c r="D64" s="141">
        <f t="shared" ref="D64:I64" si="9">D62+(D63*3)</f>
        <v>7690.4827999999989</v>
      </c>
      <c r="E64" s="141">
        <f t="shared" si="9"/>
        <v>5882.0475999999999</v>
      </c>
      <c r="F64" s="141">
        <f t="shared" si="9"/>
        <v>4459.4264000000003</v>
      </c>
      <c r="G64" s="141">
        <f t="shared" si="9"/>
        <v>2661.8591999999999</v>
      </c>
      <c r="H64" s="141">
        <f t="shared" si="9"/>
        <v>1679.3920000000001</v>
      </c>
      <c r="I64" s="141">
        <f t="shared" si="9"/>
        <v>1231.6304</v>
      </c>
      <c r="J64" s="131"/>
      <c r="K64" s="111"/>
      <c r="L64" s="73"/>
      <c r="M64" s="73"/>
      <c r="N64" s="73"/>
      <c r="O64" s="73"/>
      <c r="P64" s="73"/>
      <c r="Q64" s="73"/>
      <c r="R64" s="73"/>
      <c r="T64" s="73"/>
      <c r="U64" s="73"/>
      <c r="V64" s="73"/>
      <c r="W64" s="73"/>
      <c r="X64" s="73"/>
      <c r="Y64" s="73"/>
    </row>
    <row r="65" spans="1:19" ht="18" x14ac:dyDescent="0.15">
      <c r="A65" s="15"/>
      <c r="B65" s="15"/>
      <c r="C65" s="15"/>
      <c r="D65" s="15"/>
      <c r="E65" s="15"/>
      <c r="F65" s="15"/>
      <c r="G65" s="15"/>
      <c r="H65" s="15"/>
      <c r="I65" s="15"/>
      <c r="J65" s="131"/>
      <c r="K65" s="111"/>
    </row>
    <row r="66" spans="1:19" ht="18" x14ac:dyDescent="0.15">
      <c r="A66" s="483" t="s">
        <v>86</v>
      </c>
      <c r="B66" s="483"/>
      <c r="C66" s="483"/>
      <c r="D66" s="483"/>
      <c r="E66" s="483"/>
      <c r="F66" s="483"/>
      <c r="G66" s="483"/>
      <c r="H66" s="483"/>
      <c r="I66" s="483"/>
      <c r="J66" s="131"/>
      <c r="K66" s="111"/>
      <c r="S66" s="73"/>
    </row>
    <row r="67" spans="1:19" ht="18" x14ac:dyDescent="0.15">
      <c r="A67" s="470" t="s">
        <v>100</v>
      </c>
      <c r="B67" s="471"/>
      <c r="C67" s="84">
        <f>(C30-60-50)*Tablas!$M$2+(60/12)+50</f>
        <v>386.78</v>
      </c>
      <c r="D67" s="84">
        <f>(D30-60-50)*Tablas!$M$2+(60/12)+50</f>
        <v>323.35666666666668</v>
      </c>
      <c r="E67" s="84">
        <f>(E30-60-50)*Tablas!$M$2+(60/12)+50</f>
        <v>263.99666666666667</v>
      </c>
      <c r="F67" s="84">
        <f>(F30-60-50)*Tablas!$M$2+(60/12)+50</f>
        <v>207.905</v>
      </c>
      <c r="G67" s="84">
        <f>(G30-60-50)*Tablas!$M$2+(60/12)+50</f>
        <v>145.1</v>
      </c>
      <c r="H67" s="84">
        <f>(H30-60-50)*Tablas!$M$2+(60/12)+50</f>
        <v>109.67833333333334</v>
      </c>
      <c r="I67" s="84">
        <f>(I30-60-50)*Tablas!$M$2+(60/12)+50</f>
        <v>94.75</v>
      </c>
      <c r="J67" s="131"/>
      <c r="K67" s="111"/>
    </row>
    <row r="68" spans="1:19" ht="18" x14ac:dyDescent="0.15">
      <c r="A68" s="470" t="s">
        <v>101</v>
      </c>
      <c r="B68" s="471"/>
      <c r="C68" s="84">
        <f>C31*Tablas!$M$2</f>
        <v>315.35000000000002</v>
      </c>
      <c r="D68" s="84">
        <f>D31*Tablas!$M$2</f>
        <v>254.04666666666665</v>
      </c>
      <c r="E68" s="84">
        <f>E31*Tablas!$M$2</f>
        <v>196.63</v>
      </c>
      <c r="F68" s="84">
        <f>F31*Tablas!$M$2</f>
        <v>142.92333333333335</v>
      </c>
      <c r="G68" s="84">
        <f>G31*Tablas!$M$2</f>
        <v>83.298333333333332</v>
      </c>
      <c r="H68" s="84">
        <f>H31*Tablas!$M$2</f>
        <v>50.085000000000001</v>
      </c>
      <c r="I68" s="84">
        <f>I31*Tablas!$M$2</f>
        <v>36.12833333333333</v>
      </c>
      <c r="J68" s="131"/>
      <c r="K68" s="111"/>
    </row>
    <row r="69" spans="1:19" ht="18" x14ac:dyDescent="0.15">
      <c r="A69" s="470" t="s">
        <v>102</v>
      </c>
      <c r="B69" s="471"/>
      <c r="C69" s="84">
        <f>C32*Tablas!$M$2</f>
        <v>100.08166666666666</v>
      </c>
      <c r="D69" s="84">
        <f>D32*Tablas!$M$2</f>
        <v>93.368333333333339</v>
      </c>
      <c r="E69" s="84">
        <f>E32*Tablas!$M$2</f>
        <v>63.158333333333331</v>
      </c>
      <c r="F69" s="84">
        <f>F32*Tablas!$M$2</f>
        <v>57.328333333333333</v>
      </c>
      <c r="G69" s="84">
        <f>G32*Tablas!$M$2</f>
        <v>33.655000000000001</v>
      </c>
      <c r="H69" s="84">
        <f>H32*Tablas!$M$2</f>
        <v>22.436666666666667</v>
      </c>
      <c r="I69" s="84">
        <f>I32*Tablas!$M$2</f>
        <v>14.928333333333333</v>
      </c>
      <c r="J69" s="132"/>
      <c r="K69" s="112"/>
    </row>
    <row r="70" spans="1:19" ht="18" x14ac:dyDescent="0.15">
      <c r="A70" s="490" t="s">
        <v>103</v>
      </c>
      <c r="B70" s="490"/>
      <c r="C70" s="137">
        <f>SUM(C67:C69)</f>
        <v>802.2116666666667</v>
      </c>
      <c r="D70" s="137">
        <f t="shared" ref="D70:I70" si="10">SUM(D67:D69)</f>
        <v>670.77166666666665</v>
      </c>
      <c r="E70" s="137">
        <f t="shared" si="10"/>
        <v>523.78499999999997</v>
      </c>
      <c r="F70" s="137">
        <f t="shared" si="10"/>
        <v>408.15666666666669</v>
      </c>
      <c r="G70" s="137">
        <f t="shared" si="10"/>
        <v>262.05333333333328</v>
      </c>
      <c r="H70" s="137">
        <f t="shared" si="10"/>
        <v>182.20000000000002</v>
      </c>
      <c r="I70" s="137">
        <f t="shared" si="10"/>
        <v>145.80666666666667</v>
      </c>
      <c r="J70" s="131"/>
      <c r="K70" s="111"/>
    </row>
    <row r="71" spans="1:19" ht="31" hidden="1" customHeight="1" thickBot="1" x14ac:dyDescent="0.2">
      <c r="A71" s="477" t="s">
        <v>104</v>
      </c>
      <c r="B71" s="478"/>
      <c r="C71" s="138">
        <f>IF('INGRESO DE DATOS'!$P$3,C70*-15%,0)</f>
        <v>0</v>
      </c>
      <c r="D71" s="138">
        <f>IF('INGRESO DE DATOS'!$P$3,D70*-15%,0)</f>
        <v>0</v>
      </c>
      <c r="E71" s="138">
        <f>IF('INGRESO DE DATOS'!$P$3,E70*-15%,0)</f>
        <v>0</v>
      </c>
      <c r="F71" s="220"/>
      <c r="G71" s="220"/>
      <c r="H71" s="220"/>
      <c r="I71" s="139">
        <f>IF('INGRESO DE DATOS'!$P$3,I70*-15%,0)</f>
        <v>0</v>
      </c>
      <c r="J71" s="131"/>
      <c r="K71" s="111"/>
    </row>
    <row r="72" spans="1:19" ht="39" customHeight="1" thickBot="1" x14ac:dyDescent="0.2">
      <c r="A72" s="491" t="str">
        <f>A59</f>
        <v>Contribución 3.5% Superintendencia de Bancos
 Contribución 0.5% Seguro Social Campesino</v>
      </c>
      <c r="B72" s="491"/>
      <c r="C72" s="391">
        <f>C70*Tablas!$AD$3</f>
        <v>32.088466666666669</v>
      </c>
      <c r="D72" s="391">
        <f>D70*Tablas!$AD$3</f>
        <v>26.830866666666665</v>
      </c>
      <c r="E72" s="391">
        <f>E70*Tablas!$AD$3</f>
        <v>20.9514</v>
      </c>
      <c r="F72" s="391">
        <f>F70*Tablas!$AD$3</f>
        <v>16.326266666666669</v>
      </c>
      <c r="G72" s="391">
        <f>G70*Tablas!$AD$3</f>
        <v>10.482133333333332</v>
      </c>
      <c r="H72" s="391">
        <f>H70*Tablas!$AD$3</f>
        <v>7.2880000000000011</v>
      </c>
      <c r="I72" s="391">
        <f>I70*Tablas!$AD$3</f>
        <v>5.8322666666666674</v>
      </c>
      <c r="J72" s="131"/>
      <c r="K72" s="111"/>
    </row>
    <row r="73" spans="1:19" ht="18" hidden="1" customHeight="1" x14ac:dyDescent="0.15">
      <c r="A73" s="470" t="s">
        <v>106</v>
      </c>
      <c r="B73" s="471"/>
      <c r="C73" s="84"/>
      <c r="D73" s="84"/>
      <c r="E73" s="84"/>
      <c r="F73" s="84"/>
      <c r="G73" s="84"/>
      <c r="H73" s="84"/>
      <c r="I73" s="84"/>
      <c r="J73" s="132"/>
      <c r="K73" s="112"/>
      <c r="S73" s="73"/>
    </row>
    <row r="74" spans="1:19" ht="19" hidden="1" customHeight="1" thickBot="1" x14ac:dyDescent="0.2">
      <c r="A74" s="475" t="s">
        <v>107</v>
      </c>
      <c r="B74" s="476"/>
      <c r="C74" s="140"/>
      <c r="D74" s="140"/>
      <c r="E74" s="140"/>
      <c r="F74" s="140"/>
      <c r="G74" s="140"/>
      <c r="H74" s="140"/>
      <c r="I74" s="140"/>
      <c r="J74" s="132"/>
      <c r="K74" s="112"/>
      <c r="S74" s="73"/>
    </row>
    <row r="75" spans="1:19" ht="19" thickBot="1" x14ac:dyDescent="0.2">
      <c r="A75" s="143" t="s">
        <v>81</v>
      </c>
      <c r="B75" s="143"/>
      <c r="C75" s="144">
        <f>SUM(C70:C74)</f>
        <v>834.30013333333341</v>
      </c>
      <c r="D75" s="144">
        <f t="shared" ref="D75:I75" si="11">SUM(D70:D74)</f>
        <v>697.60253333333333</v>
      </c>
      <c r="E75" s="144">
        <f t="shared" si="11"/>
        <v>544.7364</v>
      </c>
      <c r="F75" s="144">
        <f t="shared" si="11"/>
        <v>424.48293333333334</v>
      </c>
      <c r="G75" s="144">
        <f t="shared" si="11"/>
        <v>272.53546666666659</v>
      </c>
      <c r="H75" s="144">
        <f t="shared" si="11"/>
        <v>189.48800000000003</v>
      </c>
      <c r="I75" s="144">
        <f t="shared" si="11"/>
        <v>151.63893333333334</v>
      </c>
      <c r="J75" s="130"/>
      <c r="K75" s="69"/>
    </row>
    <row r="76" spans="1:19" ht="19" thickBot="1" x14ac:dyDescent="0.2">
      <c r="A76" s="145" t="s">
        <v>87</v>
      </c>
      <c r="B76" s="145"/>
      <c r="C76" s="145">
        <f>C70+C72-52</f>
        <v>782.30013333333341</v>
      </c>
      <c r="D76" s="145">
        <f t="shared" ref="D76:I76" si="12">D70+D72-52</f>
        <v>645.60253333333333</v>
      </c>
      <c r="E76" s="145">
        <f t="shared" si="12"/>
        <v>492.7364</v>
      </c>
      <c r="F76" s="145">
        <f t="shared" si="12"/>
        <v>372.48293333333334</v>
      </c>
      <c r="G76" s="145">
        <f t="shared" si="12"/>
        <v>220.53546666666659</v>
      </c>
      <c r="H76" s="145">
        <f t="shared" si="12"/>
        <v>137.48800000000003</v>
      </c>
      <c r="I76" s="145">
        <f t="shared" si="12"/>
        <v>99.638933333333341</v>
      </c>
    </row>
    <row r="77" spans="1:19" ht="18" x14ac:dyDescent="0.15">
      <c r="A77" s="141" t="s">
        <v>108</v>
      </c>
      <c r="B77" s="141"/>
      <c r="C77" s="141">
        <f>C75+(C76*11)</f>
        <v>9439.6016000000018</v>
      </c>
      <c r="D77" s="141">
        <f t="shared" ref="D77:I77" si="13">D75+(D76*11)</f>
        <v>7799.2304000000004</v>
      </c>
      <c r="E77" s="141">
        <f t="shared" si="13"/>
        <v>5964.8368</v>
      </c>
      <c r="F77" s="141">
        <f t="shared" si="13"/>
        <v>4521.7952000000005</v>
      </c>
      <c r="G77" s="141">
        <f t="shared" si="13"/>
        <v>2698.4255999999991</v>
      </c>
      <c r="H77" s="141">
        <f t="shared" si="13"/>
        <v>1701.8560000000004</v>
      </c>
      <c r="I77" s="141">
        <f t="shared" si="13"/>
        <v>1247.6672000000001</v>
      </c>
    </row>
    <row r="79" spans="1:19" x14ac:dyDescent="0.15">
      <c r="A79" s="492" t="s">
        <v>109</v>
      </c>
      <c r="B79" s="493"/>
      <c r="C79" s="493"/>
      <c r="D79" s="493"/>
      <c r="E79" s="493"/>
      <c r="F79" s="493"/>
      <c r="G79" s="493"/>
      <c r="H79" s="493"/>
      <c r="I79" s="494"/>
    </row>
    <row r="80" spans="1:19" x14ac:dyDescent="0.15">
      <c r="A80" s="495"/>
      <c r="B80" s="496"/>
      <c r="C80" s="496"/>
      <c r="D80" s="496"/>
      <c r="E80" s="496"/>
      <c r="F80" s="496"/>
      <c r="G80" s="496"/>
      <c r="H80" s="496"/>
      <c r="I80" s="497"/>
    </row>
    <row r="81" spans="1:18" x14ac:dyDescent="0.15">
      <c r="A81" s="495"/>
      <c r="B81" s="496"/>
      <c r="C81" s="496"/>
      <c r="D81" s="496"/>
      <c r="E81" s="496"/>
      <c r="F81" s="496"/>
      <c r="G81" s="496"/>
      <c r="H81" s="496"/>
      <c r="I81" s="497"/>
    </row>
    <row r="82" spans="1:18" x14ac:dyDescent="0.15">
      <c r="A82" s="498"/>
      <c r="B82" s="499"/>
      <c r="C82" s="499"/>
      <c r="D82" s="499"/>
      <c r="E82" s="499"/>
      <c r="F82" s="499"/>
      <c r="G82" s="499"/>
      <c r="H82" s="499"/>
      <c r="I82" s="500"/>
    </row>
    <row r="87" spans="1:18" x14ac:dyDescent="0.15">
      <c r="L87" s="63"/>
      <c r="M87" s="63"/>
      <c r="N87" s="63"/>
      <c r="O87" s="63"/>
      <c r="P87" s="63"/>
      <c r="Q87" s="63"/>
      <c r="R87" s="63"/>
    </row>
  </sheetData>
  <sheetProtection algorithmName="SHA-512" hashValue="mS8o72nENraWJC8hrPZ28qtmKH3zT7BGaauJoxnuCK+XscHD6E7RxPr8jQTVlQ0XUcddDNgERoUEF8rDis+77Q==" saltValue="ssoZj+iEocy/ZECXeX/BiQ==" spinCount="100000" sheet="1" objects="1" scenarios="1"/>
  <mergeCells count="48">
    <mergeCell ref="L1:Y1"/>
    <mergeCell ref="AA1:AN1"/>
    <mergeCell ref="A74:B74"/>
    <mergeCell ref="A23:C23"/>
    <mergeCell ref="A40:I40"/>
    <mergeCell ref="A41:B41"/>
    <mergeCell ref="A42:B42"/>
    <mergeCell ref="A43:B43"/>
    <mergeCell ref="A46:B46"/>
    <mergeCell ref="A31:B31"/>
    <mergeCell ref="A32:B32"/>
    <mergeCell ref="A35:B35"/>
    <mergeCell ref="A36:B36"/>
    <mergeCell ref="A37:B37"/>
    <mergeCell ref="A1:I4"/>
    <mergeCell ref="A45:B45"/>
    <mergeCell ref="A79:I82"/>
    <mergeCell ref="A66:I66"/>
    <mergeCell ref="A67:B67"/>
    <mergeCell ref="A68:B68"/>
    <mergeCell ref="A69:B69"/>
    <mergeCell ref="A73:B73"/>
    <mergeCell ref="A70:B70"/>
    <mergeCell ref="A72:B72"/>
    <mergeCell ref="A71:B71"/>
    <mergeCell ref="A59:B59"/>
    <mergeCell ref="A47:B47"/>
    <mergeCell ref="A48:B48"/>
    <mergeCell ref="A53:I53"/>
    <mergeCell ref="A54:B54"/>
    <mergeCell ref="A55:B55"/>
    <mergeCell ref="A56:B56"/>
    <mergeCell ref="A60:B60"/>
    <mergeCell ref="I5:I6"/>
    <mergeCell ref="I7:I11"/>
    <mergeCell ref="A5:H11"/>
    <mergeCell ref="A61:B61"/>
    <mergeCell ref="A34:B34"/>
    <mergeCell ref="B21:C21"/>
    <mergeCell ref="A26:B26"/>
    <mergeCell ref="A27:B27"/>
    <mergeCell ref="A29:I29"/>
    <mergeCell ref="A30:B30"/>
    <mergeCell ref="B13:I13"/>
    <mergeCell ref="G19:H19"/>
    <mergeCell ref="A58:B58"/>
    <mergeCell ref="C17:D17"/>
    <mergeCell ref="A57:B57"/>
  </mergeCells>
  <conditionalFormatting sqref="B15">
    <cfRule type="cellIs" dxfId="46" priority="4" stopIfTrue="1" operator="greaterThan">
      <formula>2</formula>
    </cfRule>
    <cfRule type="cellIs" dxfId="45" priority="5" stopIfTrue="1" operator="lessThan">
      <formula>1</formula>
    </cfRule>
  </conditionalFormatting>
  <conditionalFormatting sqref="I19 B19">
    <cfRule type="cellIs" dxfId="44" priority="2" operator="greaterThan">
      <formula>120</formula>
    </cfRule>
    <cfRule type="cellIs" dxfId="43" priority="3" stopIfTrue="1" operator="lessThan">
      <formula>18</formula>
    </cfRule>
  </conditionalFormatting>
  <conditionalFormatting sqref="C17:D17">
    <cfRule type="containsText" dxfId="42" priority="1" operator="containsText" text="Cotización para dependiente de 24 años">
      <formula>NOT(ISERROR(SEARCH("Cotización para dependiente de 24 años",C17)))</formula>
    </cfRule>
  </conditionalFormatting>
  <printOptions horizontalCentered="1" verticalCentered="1"/>
  <pageMargins left="0.25" right="0.25" top="0.25" bottom="0.25" header="0.511811023622047" footer="0.511811023622047"/>
  <pageSetup paperSize="9" scale="44" orientation="portrait" horizontalDpi="300" verticalDpi="300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AP85"/>
  <sheetViews>
    <sheetView showGridLines="0" zoomScaleNormal="100" zoomScaleSheetLayoutView="100" zoomScalePageLayoutView="75" workbookViewId="0">
      <selection activeCell="A5" sqref="A5:H11"/>
    </sheetView>
  </sheetViews>
  <sheetFormatPr baseColWidth="10" defaultColWidth="6.6640625" defaultRowHeight="16" x14ac:dyDescent="0.15"/>
  <cols>
    <col min="1" max="1" width="51.5" style="71" customWidth="1"/>
    <col min="2" max="2" width="20.83203125" style="71" customWidth="1"/>
    <col min="3" max="9" width="20.83203125" style="68" customWidth="1"/>
    <col min="10" max="10" width="3.1640625" style="116" customWidth="1"/>
    <col min="11" max="43" width="8.83203125" style="71" customWidth="1"/>
    <col min="44" max="16384" width="6.6640625" style="71"/>
  </cols>
  <sheetData>
    <row r="1" spans="1:42" x14ac:dyDescent="0.15">
      <c r="A1" s="85"/>
      <c r="B1" s="85"/>
      <c r="C1" s="76"/>
      <c r="D1" s="76"/>
      <c r="E1" s="76"/>
      <c r="F1" s="76"/>
      <c r="G1" s="76"/>
      <c r="H1" s="76"/>
      <c r="I1" s="76"/>
      <c r="M1" s="553" t="s">
        <v>51</v>
      </c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73"/>
      <c r="AB1" s="553" t="s">
        <v>51</v>
      </c>
      <c r="AC1" s="553"/>
      <c r="AD1" s="553"/>
      <c r="AE1" s="553"/>
      <c r="AF1" s="553"/>
      <c r="AG1" s="553"/>
      <c r="AH1" s="553"/>
      <c r="AI1" s="553"/>
      <c r="AJ1" s="553"/>
      <c r="AK1" s="553"/>
      <c r="AL1" s="553"/>
      <c r="AM1" s="553"/>
      <c r="AN1" s="553"/>
      <c r="AO1" s="553"/>
      <c r="AP1" s="73"/>
    </row>
    <row r="2" spans="1:42" x14ac:dyDescent="0.15">
      <c r="A2" s="85"/>
      <c r="B2" s="85"/>
      <c r="C2" s="76"/>
      <c r="D2" s="76"/>
      <c r="E2" s="76"/>
      <c r="F2" s="76"/>
      <c r="G2" s="76"/>
      <c r="H2" s="76"/>
      <c r="I2" s="77"/>
      <c r="J2" s="117"/>
      <c r="K2" s="86"/>
      <c r="L2" s="86"/>
      <c r="M2" s="159"/>
      <c r="N2" s="160"/>
      <c r="O2" s="160"/>
      <c r="P2" s="160"/>
      <c r="Q2" s="160"/>
      <c r="R2" s="160"/>
      <c r="S2" s="161"/>
      <c r="T2" s="161"/>
      <c r="U2" s="161"/>
      <c r="V2" s="161"/>
      <c r="W2" s="161"/>
      <c r="X2" s="161"/>
      <c r="Y2" s="161"/>
      <c r="Z2" s="162"/>
      <c r="AB2" s="159"/>
      <c r="AC2" s="160"/>
      <c r="AD2" s="160"/>
      <c r="AE2" s="160"/>
      <c r="AF2" s="160"/>
      <c r="AG2" s="160"/>
      <c r="AH2" s="161"/>
      <c r="AI2" s="161"/>
      <c r="AJ2" s="161"/>
      <c r="AK2" s="161"/>
      <c r="AL2" s="161"/>
      <c r="AM2" s="161"/>
      <c r="AN2" s="161"/>
      <c r="AO2" s="162"/>
    </row>
    <row r="3" spans="1:42" x14ac:dyDescent="0.15">
      <c r="A3" s="85"/>
      <c r="B3" s="85"/>
      <c r="C3" s="76"/>
      <c r="D3" s="76"/>
      <c r="E3" s="76"/>
      <c r="F3" s="76"/>
      <c r="G3" s="76"/>
      <c r="H3" s="76"/>
      <c r="I3" s="78"/>
      <c r="J3" s="117"/>
      <c r="K3" s="86"/>
      <c r="L3" s="86"/>
      <c r="M3" s="163"/>
      <c r="N3" s="109"/>
      <c r="O3" s="109"/>
      <c r="P3" s="109" t="s">
        <v>0</v>
      </c>
      <c r="Q3" s="109" t="s">
        <v>0</v>
      </c>
      <c r="R3" s="109" t="s">
        <v>0</v>
      </c>
      <c r="S3" s="85"/>
      <c r="T3" s="85"/>
      <c r="U3" s="85"/>
      <c r="V3" s="85"/>
      <c r="W3" s="85"/>
      <c r="X3" s="85"/>
      <c r="Y3" s="85"/>
      <c r="Z3" s="164"/>
      <c r="AB3" s="163"/>
      <c r="AC3" s="109"/>
      <c r="AD3" s="109"/>
      <c r="AE3" s="109" t="s">
        <v>0</v>
      </c>
      <c r="AF3" s="109" t="s">
        <v>0</v>
      </c>
      <c r="AG3" s="109" t="s">
        <v>0</v>
      </c>
      <c r="AH3" s="85"/>
      <c r="AI3" s="85"/>
      <c r="AJ3" s="85"/>
      <c r="AK3" s="85"/>
      <c r="AL3" s="85"/>
      <c r="AM3" s="85"/>
      <c r="AN3" s="85"/>
      <c r="AO3" s="164"/>
    </row>
    <row r="4" spans="1:42" x14ac:dyDescent="0.15">
      <c r="A4" s="85"/>
      <c r="B4" s="85"/>
      <c r="C4" s="76"/>
      <c r="D4" s="76"/>
      <c r="E4" s="76"/>
      <c r="F4" s="76"/>
      <c r="G4" s="76"/>
      <c r="H4" s="76"/>
      <c r="I4" s="78"/>
      <c r="J4" s="117"/>
      <c r="K4" s="86"/>
      <c r="L4" s="86"/>
      <c r="M4" s="163"/>
      <c r="N4" s="109"/>
      <c r="O4" s="109"/>
      <c r="P4" s="109"/>
      <c r="Q4" s="109"/>
      <c r="R4" s="109"/>
      <c r="S4" s="85"/>
      <c r="T4" s="85"/>
      <c r="U4" s="85"/>
      <c r="V4" s="85"/>
      <c r="W4" s="85"/>
      <c r="X4" s="85"/>
      <c r="Y4" s="85"/>
      <c r="Z4" s="164"/>
      <c r="AB4" s="163"/>
      <c r="AC4" s="109"/>
      <c r="AD4" s="109"/>
      <c r="AE4" s="109"/>
      <c r="AF4" s="109"/>
      <c r="AG4" s="109"/>
      <c r="AH4" s="85"/>
      <c r="AI4" s="85"/>
      <c r="AJ4" s="85"/>
      <c r="AK4" s="85"/>
      <c r="AL4" s="85"/>
      <c r="AM4" s="85"/>
      <c r="AN4" s="85"/>
      <c r="AO4" s="164"/>
    </row>
    <row r="5" spans="1:42" ht="16" customHeight="1" x14ac:dyDescent="0.15">
      <c r="A5" s="516" t="s">
        <v>110</v>
      </c>
      <c r="B5" s="516"/>
      <c r="C5" s="516"/>
      <c r="D5" s="516"/>
      <c r="E5" s="516"/>
      <c r="F5" s="516"/>
      <c r="G5" s="516"/>
      <c r="H5" s="517"/>
      <c r="I5" s="514" t="s">
        <v>53</v>
      </c>
      <c r="J5" s="117"/>
      <c r="K5" s="86"/>
      <c r="L5" s="86"/>
      <c r="M5" s="163"/>
      <c r="N5" s="109"/>
      <c r="O5" s="109"/>
      <c r="P5" s="109"/>
      <c r="Q5" s="109"/>
      <c r="R5" s="109"/>
      <c r="S5" s="85"/>
      <c r="T5" s="85"/>
      <c r="U5" s="85"/>
      <c r="V5" s="85"/>
      <c r="W5" s="85"/>
      <c r="X5" s="85"/>
      <c r="Y5" s="85"/>
      <c r="Z5" s="164"/>
      <c r="AB5" s="163"/>
      <c r="AC5" s="109"/>
      <c r="AD5" s="109"/>
      <c r="AE5" s="109"/>
      <c r="AF5" s="109"/>
      <c r="AG5" s="109"/>
      <c r="AH5" s="85"/>
      <c r="AI5" s="85"/>
      <c r="AJ5" s="85"/>
      <c r="AK5" s="85"/>
      <c r="AL5" s="85"/>
      <c r="AM5" s="85"/>
      <c r="AN5" s="85"/>
      <c r="AO5" s="164"/>
    </row>
    <row r="6" spans="1:42" x14ac:dyDescent="0.15">
      <c r="A6" s="516"/>
      <c r="B6" s="516"/>
      <c r="C6" s="516"/>
      <c r="D6" s="516"/>
      <c r="E6" s="516"/>
      <c r="F6" s="516"/>
      <c r="G6" s="516"/>
      <c r="H6" s="517"/>
      <c r="I6" s="514"/>
      <c r="J6" s="117"/>
      <c r="K6" s="86"/>
      <c r="L6" s="86"/>
      <c r="M6" s="163"/>
      <c r="N6" s="109"/>
      <c r="O6" s="109"/>
      <c r="P6" s="109"/>
      <c r="Q6" s="109"/>
      <c r="R6" s="109"/>
      <c r="S6" s="85"/>
      <c r="T6" s="85"/>
      <c r="U6" s="85"/>
      <c r="V6" s="85"/>
      <c r="W6" s="85"/>
      <c r="X6" s="85"/>
      <c r="Y6" s="85"/>
      <c r="Z6" s="164"/>
      <c r="AB6" s="163"/>
      <c r="AC6" s="109"/>
      <c r="AD6" s="109"/>
      <c r="AE6" s="109"/>
      <c r="AF6" s="109"/>
      <c r="AG6" s="109"/>
      <c r="AH6" s="85"/>
      <c r="AI6" s="85"/>
      <c r="AJ6" s="85"/>
      <c r="AK6" s="85"/>
      <c r="AL6" s="85"/>
      <c r="AM6" s="85"/>
      <c r="AN6" s="85"/>
      <c r="AO6" s="164"/>
    </row>
    <row r="7" spans="1:42" x14ac:dyDescent="0.15">
      <c r="A7" s="516"/>
      <c r="B7" s="516"/>
      <c r="C7" s="516"/>
      <c r="D7" s="516"/>
      <c r="E7" s="516"/>
      <c r="F7" s="516"/>
      <c r="G7" s="516"/>
      <c r="H7" s="517"/>
      <c r="I7" s="515" t="str">
        <f>'INGRESO DE DATOS'!W20</f>
        <v>Resto de Ecuador</v>
      </c>
      <c r="J7" s="117"/>
      <c r="K7" s="86"/>
      <c r="L7" s="86"/>
      <c r="M7" s="163"/>
      <c r="N7" s="109"/>
      <c r="O7" s="109"/>
      <c r="P7" s="78" t="s">
        <v>0</v>
      </c>
      <c r="Q7" s="78" t="s">
        <v>0</v>
      </c>
      <c r="R7" s="78" t="s">
        <v>0</v>
      </c>
      <c r="S7" s="85"/>
      <c r="T7" s="85"/>
      <c r="U7" s="85"/>
      <c r="V7" s="85"/>
      <c r="W7" s="85"/>
      <c r="X7" s="85"/>
      <c r="Y7" s="85"/>
      <c r="Z7" s="164"/>
      <c r="AB7" s="163"/>
      <c r="AC7" s="109"/>
      <c r="AD7" s="109"/>
      <c r="AE7" s="78" t="s">
        <v>0</v>
      </c>
      <c r="AF7" s="78" t="s">
        <v>0</v>
      </c>
      <c r="AG7" s="78" t="s">
        <v>0</v>
      </c>
      <c r="AH7" s="85"/>
      <c r="AI7" s="85"/>
      <c r="AJ7" s="85"/>
      <c r="AK7" s="85"/>
      <c r="AL7" s="85"/>
      <c r="AM7" s="85"/>
      <c r="AN7" s="85"/>
      <c r="AO7" s="164"/>
    </row>
    <row r="8" spans="1:42" x14ac:dyDescent="0.15">
      <c r="A8" s="516"/>
      <c r="B8" s="516"/>
      <c r="C8" s="516"/>
      <c r="D8" s="516"/>
      <c r="E8" s="516"/>
      <c r="F8" s="516"/>
      <c r="G8" s="516"/>
      <c r="H8" s="517"/>
      <c r="I8" s="515"/>
      <c r="J8" s="117"/>
      <c r="K8" s="86"/>
      <c r="L8" s="86"/>
      <c r="M8" s="163"/>
      <c r="N8" s="109"/>
      <c r="O8" s="109"/>
      <c r="P8" s="109"/>
      <c r="Q8" s="109"/>
      <c r="R8" s="109"/>
      <c r="S8" s="85"/>
      <c r="T8" s="85"/>
      <c r="U8" s="85"/>
      <c r="V8" s="85"/>
      <c r="W8" s="85"/>
      <c r="X8" s="85"/>
      <c r="Y8" s="85"/>
      <c r="Z8" s="164"/>
      <c r="AB8" s="163"/>
      <c r="AC8" s="109"/>
      <c r="AD8" s="109"/>
      <c r="AE8" s="109"/>
      <c r="AF8" s="109"/>
      <c r="AG8" s="109"/>
      <c r="AH8" s="85"/>
      <c r="AI8" s="85"/>
      <c r="AJ8" s="85"/>
      <c r="AK8" s="85"/>
      <c r="AL8" s="85"/>
      <c r="AM8" s="85"/>
      <c r="AN8" s="85"/>
      <c r="AO8" s="164"/>
    </row>
    <row r="9" spans="1:42" x14ac:dyDescent="0.15">
      <c r="A9" s="516"/>
      <c r="B9" s="516"/>
      <c r="C9" s="516"/>
      <c r="D9" s="516"/>
      <c r="E9" s="516"/>
      <c r="F9" s="516"/>
      <c r="G9" s="516"/>
      <c r="H9" s="517"/>
      <c r="I9" s="515"/>
      <c r="J9" s="117"/>
      <c r="K9" s="86"/>
      <c r="L9" s="86"/>
      <c r="M9" s="163"/>
      <c r="N9" s="109"/>
      <c r="O9" s="109"/>
      <c r="P9" s="109"/>
      <c r="Q9" s="109"/>
      <c r="R9" s="109"/>
      <c r="S9" s="85"/>
      <c r="T9" s="85"/>
      <c r="U9" s="85"/>
      <c r="V9" s="85"/>
      <c r="W9" s="85"/>
      <c r="X9" s="85"/>
      <c r="Y9" s="85"/>
      <c r="Z9" s="164"/>
      <c r="AB9" s="163"/>
      <c r="AC9" s="109"/>
      <c r="AD9" s="109"/>
      <c r="AE9" s="109"/>
      <c r="AF9" s="109"/>
      <c r="AG9" s="109"/>
      <c r="AH9" s="85"/>
      <c r="AI9" s="85"/>
      <c r="AJ9" s="85"/>
      <c r="AK9" s="85"/>
      <c r="AL9" s="85"/>
      <c r="AM9" s="85"/>
      <c r="AN9" s="85"/>
      <c r="AO9" s="164"/>
    </row>
    <row r="10" spans="1:42" x14ac:dyDescent="0.15">
      <c r="A10" s="516"/>
      <c r="B10" s="516"/>
      <c r="C10" s="516"/>
      <c r="D10" s="516"/>
      <c r="E10" s="516"/>
      <c r="F10" s="516"/>
      <c r="G10" s="516"/>
      <c r="H10" s="517"/>
      <c r="I10" s="515"/>
      <c r="J10" s="117"/>
      <c r="K10" s="86"/>
      <c r="L10" s="86"/>
      <c r="M10" s="163"/>
      <c r="N10" s="109"/>
      <c r="O10" s="109"/>
      <c r="P10" s="109"/>
      <c r="Q10" s="109"/>
      <c r="R10" s="109"/>
      <c r="S10" s="85"/>
      <c r="T10" s="85"/>
      <c r="U10" s="85"/>
      <c r="V10" s="85"/>
      <c r="W10" s="85"/>
      <c r="X10" s="85"/>
      <c r="Y10" s="85"/>
      <c r="Z10" s="164"/>
      <c r="AB10" s="163"/>
      <c r="AC10" s="109"/>
      <c r="AD10" s="109"/>
      <c r="AE10" s="109"/>
      <c r="AF10" s="109"/>
      <c r="AG10" s="109"/>
      <c r="AH10" s="85"/>
      <c r="AI10" s="85"/>
      <c r="AJ10" s="85"/>
      <c r="AK10" s="85"/>
      <c r="AL10" s="85"/>
      <c r="AM10" s="85"/>
      <c r="AN10" s="85"/>
      <c r="AO10" s="164"/>
    </row>
    <row r="11" spans="1:42" x14ac:dyDescent="0.15">
      <c r="A11" s="516"/>
      <c r="B11" s="516"/>
      <c r="C11" s="516"/>
      <c r="D11" s="516"/>
      <c r="E11" s="516"/>
      <c r="F11" s="516"/>
      <c r="G11" s="516"/>
      <c r="H11" s="517"/>
      <c r="I11" s="515"/>
      <c r="M11" s="16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164"/>
      <c r="AB11" s="16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164"/>
    </row>
    <row r="12" spans="1:42" x14ac:dyDescent="0.15">
      <c r="A12" s="85"/>
      <c r="B12" s="85"/>
      <c r="C12" s="76"/>
      <c r="D12" s="76"/>
      <c r="E12" s="76"/>
      <c r="F12" s="76"/>
      <c r="G12" s="76"/>
      <c r="H12" s="76"/>
      <c r="I12" s="76"/>
      <c r="J12" s="118"/>
      <c r="K12" s="62"/>
      <c r="M12" s="165"/>
      <c r="N12" s="85"/>
      <c r="O12" s="85"/>
      <c r="P12" s="85"/>
      <c r="Q12" s="85"/>
      <c r="R12" s="61"/>
      <c r="S12" s="85"/>
      <c r="T12" s="85"/>
      <c r="U12" s="85"/>
      <c r="V12" s="85"/>
      <c r="W12" s="85"/>
      <c r="X12" s="85"/>
      <c r="Y12" s="85"/>
      <c r="Z12" s="164"/>
      <c r="AB12" s="165"/>
      <c r="AC12" s="85"/>
      <c r="AD12" s="85"/>
      <c r="AE12" s="85"/>
      <c r="AF12" s="85"/>
      <c r="AG12" s="61"/>
      <c r="AH12" s="85"/>
      <c r="AI12" s="85"/>
      <c r="AJ12" s="85"/>
      <c r="AK12" s="85"/>
      <c r="AL12" s="85"/>
      <c r="AM12" s="85"/>
      <c r="AN12" s="85"/>
      <c r="AO12" s="164"/>
    </row>
    <row r="13" spans="1:42" x14ac:dyDescent="0.15">
      <c r="A13" s="58" t="s">
        <v>90</v>
      </c>
      <c r="B13" s="519" t="str">
        <f>+'INGRESO DE DATOS'!$C$37</f>
        <v>John Doe</v>
      </c>
      <c r="C13" s="520"/>
      <c r="D13" s="520"/>
      <c r="E13" s="520"/>
      <c r="F13" s="520"/>
      <c r="G13" s="520"/>
      <c r="H13" s="520"/>
      <c r="I13" s="521"/>
      <c r="J13" s="118"/>
      <c r="K13" s="62"/>
      <c r="L13" s="62"/>
      <c r="M13" s="166"/>
      <c r="N13" s="61"/>
      <c r="O13" s="61"/>
      <c r="P13" s="61"/>
      <c r="Q13" s="85"/>
      <c r="R13" s="61"/>
      <c r="S13" s="85"/>
      <c r="T13" s="85"/>
      <c r="U13" s="85"/>
      <c r="V13" s="85"/>
      <c r="W13" s="85"/>
      <c r="X13" s="85"/>
      <c r="Y13" s="85"/>
      <c r="Z13" s="164"/>
      <c r="AB13" s="166"/>
      <c r="AC13" s="61"/>
      <c r="AD13" s="61"/>
      <c r="AE13" s="61"/>
      <c r="AF13" s="85"/>
      <c r="AG13" s="61"/>
      <c r="AH13" s="85"/>
      <c r="AI13" s="85"/>
      <c r="AJ13" s="85"/>
      <c r="AK13" s="85"/>
      <c r="AL13" s="85"/>
      <c r="AM13" s="85"/>
      <c r="AN13" s="85"/>
      <c r="AO13" s="164"/>
    </row>
    <row r="14" spans="1:42" x14ac:dyDescent="0.15">
      <c r="A14" s="58"/>
      <c r="B14" s="85"/>
      <c r="C14" s="76"/>
      <c r="D14" s="76"/>
      <c r="E14" s="76"/>
      <c r="F14" s="76"/>
      <c r="G14" s="76"/>
      <c r="H14" s="76"/>
      <c r="I14" s="76"/>
      <c r="J14" s="118"/>
      <c r="K14" s="62"/>
      <c r="L14" s="62"/>
      <c r="M14" s="166"/>
      <c r="N14" s="61"/>
      <c r="O14" s="61"/>
      <c r="P14" s="167"/>
      <c r="Q14" s="85"/>
      <c r="R14" s="61"/>
      <c r="S14" s="85"/>
      <c r="T14" s="85"/>
      <c r="U14" s="85"/>
      <c r="V14" s="85"/>
      <c r="W14" s="85"/>
      <c r="X14" s="85"/>
      <c r="Y14" s="85"/>
      <c r="Z14" s="164"/>
      <c r="AB14" s="166"/>
      <c r="AC14" s="61"/>
      <c r="AD14" s="61"/>
      <c r="AE14" s="167"/>
      <c r="AF14" s="85"/>
      <c r="AG14" s="61"/>
      <c r="AH14" s="85"/>
      <c r="AI14" s="85"/>
      <c r="AJ14" s="85"/>
      <c r="AK14" s="85"/>
      <c r="AL14" s="85"/>
      <c r="AM14" s="85"/>
      <c r="AN14" s="85"/>
      <c r="AO14" s="164"/>
    </row>
    <row r="15" spans="1:42" x14ac:dyDescent="0.15">
      <c r="A15" s="58" t="s">
        <v>91</v>
      </c>
      <c r="B15" s="60">
        <f>+'INGRESO DE DATOS'!$C$39</f>
        <v>2</v>
      </c>
      <c r="C15" s="76"/>
      <c r="D15" s="76"/>
      <c r="E15" s="76"/>
      <c r="F15" s="76"/>
      <c r="G15" s="76"/>
      <c r="H15" s="76"/>
      <c r="I15" s="76"/>
      <c r="J15" s="118"/>
      <c r="K15" s="62"/>
      <c r="L15" s="86"/>
      <c r="M15" s="165"/>
      <c r="N15" s="109"/>
      <c r="O15" s="109"/>
      <c r="P15" s="109"/>
      <c r="Q15" s="85"/>
      <c r="R15" s="61"/>
      <c r="S15" s="85"/>
      <c r="T15" s="85"/>
      <c r="U15" s="85"/>
      <c r="V15" s="85"/>
      <c r="W15" s="85"/>
      <c r="X15" s="85"/>
      <c r="Y15" s="85"/>
      <c r="Z15" s="164"/>
      <c r="AB15" s="165"/>
      <c r="AC15" s="109"/>
      <c r="AD15" s="109"/>
      <c r="AE15" s="109"/>
      <c r="AF15" s="85"/>
      <c r="AG15" s="61"/>
      <c r="AH15" s="85"/>
      <c r="AI15" s="85"/>
      <c r="AJ15" s="85"/>
      <c r="AK15" s="85"/>
      <c r="AL15" s="85"/>
      <c r="AM15" s="85"/>
      <c r="AN15" s="85"/>
      <c r="AO15" s="164"/>
    </row>
    <row r="16" spans="1:42" x14ac:dyDescent="0.15">
      <c r="A16" s="58"/>
      <c r="B16" s="85"/>
      <c r="C16" s="76"/>
      <c r="D16" s="76"/>
      <c r="E16" s="76"/>
      <c r="F16" s="76"/>
      <c r="G16" s="76"/>
      <c r="H16" s="76"/>
      <c r="I16" s="76"/>
      <c r="J16" s="118"/>
      <c r="K16" s="62"/>
      <c r="M16" s="165"/>
      <c r="N16" s="76"/>
      <c r="O16" s="85"/>
      <c r="P16" s="167"/>
      <c r="Q16" s="85"/>
      <c r="R16" s="61"/>
      <c r="S16" s="85"/>
      <c r="T16" s="85"/>
      <c r="U16" s="85"/>
      <c r="V16" s="85"/>
      <c r="W16" s="85"/>
      <c r="X16" s="85"/>
      <c r="Y16" s="85"/>
      <c r="Z16" s="164"/>
      <c r="AB16" s="165"/>
      <c r="AC16" s="76"/>
      <c r="AD16" s="85"/>
      <c r="AE16" s="167"/>
      <c r="AF16" s="85"/>
      <c r="AG16" s="61"/>
      <c r="AH16" s="85"/>
      <c r="AI16" s="85"/>
      <c r="AJ16" s="85"/>
      <c r="AK16" s="85"/>
      <c r="AL16" s="85"/>
      <c r="AM16" s="85"/>
      <c r="AN16" s="85"/>
      <c r="AO16" s="164"/>
    </row>
    <row r="17" spans="1:41" x14ac:dyDescent="0.15">
      <c r="A17" s="58" t="s">
        <v>92</v>
      </c>
      <c r="B17" s="60">
        <f>+'INGRESO DE DATOS'!$C$41</f>
        <v>1</v>
      </c>
      <c r="C17" s="528" t="str">
        <f>IF('INGRESO DE DATOS'!$P$2=TRUE, "Cotización para dependiente de 24 años","")</f>
        <v/>
      </c>
      <c r="D17" s="529"/>
      <c r="E17" s="76"/>
      <c r="F17" s="76"/>
      <c r="G17" s="76"/>
      <c r="H17" s="76"/>
      <c r="I17" s="76"/>
      <c r="J17" s="118"/>
      <c r="K17" s="62"/>
      <c r="M17" s="165"/>
      <c r="N17" s="109"/>
      <c r="O17" s="85"/>
      <c r="P17" s="109"/>
      <c r="Q17" s="85"/>
      <c r="R17" s="61"/>
      <c r="S17" s="85"/>
      <c r="T17" s="85"/>
      <c r="U17" s="85"/>
      <c r="V17" s="85"/>
      <c r="W17" s="85"/>
      <c r="X17" s="85"/>
      <c r="Y17" s="85"/>
      <c r="Z17" s="164"/>
      <c r="AB17" s="165"/>
      <c r="AC17" s="109"/>
      <c r="AD17" s="85"/>
      <c r="AE17" s="109"/>
      <c r="AF17" s="85"/>
      <c r="AG17" s="61"/>
      <c r="AH17" s="85"/>
      <c r="AI17" s="85"/>
      <c r="AJ17" s="85"/>
      <c r="AK17" s="85"/>
      <c r="AL17" s="85"/>
      <c r="AM17" s="85"/>
      <c r="AN17" s="85"/>
      <c r="AO17" s="164"/>
    </row>
    <row r="18" spans="1:41" x14ac:dyDescent="0.15">
      <c r="A18" s="58"/>
      <c r="B18" s="85"/>
      <c r="C18" s="76"/>
      <c r="D18" s="76"/>
      <c r="E18" s="76"/>
      <c r="F18" s="76"/>
      <c r="G18" s="76"/>
      <c r="H18" s="76"/>
      <c r="I18" s="76"/>
      <c r="J18" s="119"/>
      <c r="K18" s="63"/>
      <c r="M18" s="168"/>
      <c r="N18" s="169"/>
      <c r="O18" s="109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164"/>
      <c r="AB18" s="168"/>
      <c r="AC18" s="169"/>
      <c r="AD18" s="109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164"/>
    </row>
    <row r="19" spans="1:41" x14ac:dyDescent="0.15">
      <c r="A19" s="58" t="s">
        <v>93</v>
      </c>
      <c r="B19" s="60">
        <f>+'INGRESO DE DATOS'!$C$43</f>
        <v>34</v>
      </c>
      <c r="C19" s="76"/>
      <c r="D19" s="76"/>
      <c r="E19" s="76"/>
      <c r="F19" s="76"/>
      <c r="G19" s="522" t="s">
        <v>94</v>
      </c>
      <c r="H19" s="523"/>
      <c r="I19" s="60">
        <f>+'INGRESO DE DATOS'!$C$45</f>
        <v>32</v>
      </c>
      <c r="J19" s="119"/>
      <c r="K19" s="63"/>
      <c r="L19" s="86"/>
      <c r="M19" s="163" t="s">
        <v>0</v>
      </c>
      <c r="N19" s="170" t="b">
        <v>0</v>
      </c>
      <c r="O19" s="109"/>
      <c r="P19" s="109" t="s">
        <v>0</v>
      </c>
      <c r="Q19" s="171"/>
      <c r="R19" s="85"/>
      <c r="S19" s="85"/>
      <c r="T19" s="85"/>
      <c r="U19" s="85"/>
      <c r="V19" s="85"/>
      <c r="W19" s="85"/>
      <c r="X19" s="85"/>
      <c r="Y19" s="85"/>
      <c r="Z19" s="164"/>
      <c r="AB19" s="163" t="s">
        <v>0</v>
      </c>
      <c r="AC19" s="170" t="b">
        <v>0</v>
      </c>
      <c r="AD19" s="109"/>
      <c r="AE19" s="109" t="s">
        <v>0</v>
      </c>
      <c r="AF19" s="171"/>
      <c r="AG19" s="85"/>
      <c r="AH19" s="85"/>
      <c r="AI19" s="85"/>
      <c r="AJ19" s="85"/>
      <c r="AK19" s="85"/>
      <c r="AL19" s="85"/>
      <c r="AM19" s="85"/>
      <c r="AN19" s="85"/>
      <c r="AO19" s="164"/>
    </row>
    <row r="20" spans="1:41" ht="17" thickBot="1" x14ac:dyDescent="0.2">
      <c r="A20" s="64"/>
      <c r="B20" s="88"/>
      <c r="C20" s="80"/>
      <c r="D20" s="80"/>
      <c r="E20" s="80"/>
      <c r="F20" s="80"/>
      <c r="G20" s="80"/>
      <c r="H20" s="80"/>
      <c r="I20" s="80"/>
      <c r="J20" s="120"/>
      <c r="K20" s="63"/>
      <c r="M20" s="163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164"/>
      <c r="AB20" s="163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164"/>
    </row>
    <row r="21" spans="1:41" ht="17" thickBot="1" x14ac:dyDescent="0.2">
      <c r="A21" s="79" t="s">
        <v>95</v>
      </c>
      <c r="B21" s="479">
        <f ca="1">NOW()</f>
        <v>46241.393698032407</v>
      </c>
      <c r="C21" s="480"/>
      <c r="D21" s="480"/>
      <c r="E21" s="81"/>
      <c r="F21" s="81"/>
      <c r="G21" s="81"/>
      <c r="H21" s="81"/>
      <c r="I21" s="81"/>
      <c r="J21" s="119"/>
      <c r="K21" s="63"/>
      <c r="L21" s="68"/>
      <c r="M21" s="172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164"/>
      <c r="AB21" s="172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164"/>
    </row>
    <row r="22" spans="1:41" x14ac:dyDescent="0.15">
      <c r="A22" s="59"/>
      <c r="B22" s="101"/>
      <c r="C22" s="102"/>
      <c r="D22" s="102"/>
      <c r="J22" s="119"/>
      <c r="K22" s="63"/>
      <c r="L22" s="68"/>
      <c r="M22" s="172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164"/>
      <c r="AB22" s="172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164"/>
    </row>
    <row r="23" spans="1:41" ht="17" hidden="1" thickBot="1" x14ac:dyDescent="0.2">
      <c r="A23" s="554" t="str">
        <f>IF('INGRESO DE DATOS'!P3=TRUE,"Variante con coaseguro fuera del país de residencia: SI","Variante con coaseguro fuera del país de residencia: NO")</f>
        <v>Variante con coaseguro fuera del país de residencia: NO</v>
      </c>
      <c r="B23" s="555"/>
      <c r="C23" s="100"/>
      <c r="D23" s="100"/>
      <c r="E23" s="100"/>
      <c r="F23" s="100"/>
      <c r="G23" s="100"/>
      <c r="H23" s="100"/>
      <c r="I23" s="100"/>
      <c r="J23" s="119"/>
      <c r="K23" s="63"/>
      <c r="L23" s="68"/>
      <c r="M23" s="172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164"/>
      <c r="AB23" s="172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164"/>
    </row>
    <row r="24" spans="1:41" x14ac:dyDescent="0.15">
      <c r="C24" s="392">
        <f>1-(IF('INGRESO DE DATOS'!$T$19=6,'INGRESO DE DATOS'!U48,IF('INGRESO DE DATOS'!$T$19=8,'INGRESO DE DATOS'!U56,0)))</f>
        <v>0.92999999999999994</v>
      </c>
      <c r="D24" s="392">
        <f>1-(IF('INGRESO DE DATOS'!$T$19=6,'INGRESO DE DATOS'!V48,IF('INGRESO DE DATOS'!$T$19=8,'INGRESO DE DATOS'!V56,0)))</f>
        <v>0.92999999999999994</v>
      </c>
      <c r="E24" s="392">
        <f>1-(IF('INGRESO DE DATOS'!$T$19=6,'INGRESO DE DATOS'!W48,IF('INGRESO DE DATOS'!$T$19=8,'INGRESO DE DATOS'!W56,0)))</f>
        <v>0.92999999999999994</v>
      </c>
      <c r="F24" s="392">
        <f>1-(IF('INGRESO DE DATOS'!$T$19=6,'INGRESO DE DATOS'!X48,IF('INGRESO DE DATOS'!$T$19=8,'INGRESO DE DATOS'!X56,0)))</f>
        <v>0.92999999999999994</v>
      </c>
      <c r="G24" s="392">
        <f>1-(IF('INGRESO DE DATOS'!$T$19=6,'INGRESO DE DATOS'!Y48,IF('INGRESO DE DATOS'!$T$19=8,'INGRESO DE DATOS'!Y56,0)))</f>
        <v>0.92999999999999994</v>
      </c>
      <c r="H24" s="392">
        <f>1-(IF('INGRESO DE DATOS'!$T$19=6,'INGRESO DE DATOS'!Z48,IF('INGRESO DE DATOS'!$T$19=8,'INGRESO DE DATOS'!Z56,0)))</f>
        <v>1</v>
      </c>
      <c r="I24" s="392">
        <f>1-(IF('INGRESO DE DATOS'!$T$19=6,'INGRESO DE DATOS'!AA48,IF('INGRESO DE DATOS'!$T$19=8,'INGRESO DE DATOS'!AA56,0)))</f>
        <v>1</v>
      </c>
      <c r="J24" s="121"/>
      <c r="K24" s="63"/>
      <c r="L24" s="86"/>
      <c r="M24" s="173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164"/>
      <c r="AB24" s="173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164"/>
    </row>
    <row r="25" spans="1:41" ht="18" x14ac:dyDescent="0.15">
      <c r="A25" s="82" t="s">
        <v>111</v>
      </c>
      <c r="B25" s="83"/>
      <c r="C25" s="83" t="s">
        <v>62</v>
      </c>
      <c r="D25" s="83" t="s">
        <v>63</v>
      </c>
      <c r="E25" s="83" t="s">
        <v>64</v>
      </c>
      <c r="F25" s="83" t="s">
        <v>65</v>
      </c>
      <c r="G25" s="83" t="s">
        <v>66</v>
      </c>
      <c r="H25" s="83" t="s">
        <v>67</v>
      </c>
      <c r="I25" s="83" t="s">
        <v>97</v>
      </c>
      <c r="J25" s="122"/>
      <c r="K25" s="70"/>
      <c r="L25" s="89"/>
      <c r="M25" s="174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164"/>
      <c r="AB25" s="174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164"/>
    </row>
    <row r="26" spans="1:41" s="87" customFormat="1" ht="18" x14ac:dyDescent="0.15">
      <c r="A26" s="524" t="s">
        <v>98</v>
      </c>
      <c r="B26" s="524"/>
      <c r="C26" s="157">
        <v>250</v>
      </c>
      <c r="D26" s="157">
        <v>500</v>
      </c>
      <c r="E26" s="157">
        <v>1000</v>
      </c>
      <c r="F26" s="157">
        <v>2000</v>
      </c>
      <c r="G26" s="157">
        <v>5000</v>
      </c>
      <c r="H26" s="157">
        <v>10000</v>
      </c>
      <c r="I26" s="157">
        <v>20000</v>
      </c>
      <c r="J26" s="123"/>
      <c r="K26" s="70"/>
      <c r="L26" s="89"/>
      <c r="M26" s="174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175"/>
      <c r="AB26" s="174"/>
      <c r="AC26" s="171"/>
      <c r="AD26" s="171"/>
      <c r="AE26" s="171"/>
      <c r="AF26" s="171"/>
      <c r="AG26" s="171"/>
      <c r="AH26" s="171"/>
      <c r="AI26" s="171"/>
      <c r="AJ26" s="171"/>
      <c r="AK26" s="171"/>
      <c r="AL26" s="171"/>
      <c r="AM26" s="171"/>
      <c r="AN26" s="171"/>
      <c r="AO26" s="175"/>
    </row>
    <row r="27" spans="1:41" s="87" customFormat="1" ht="18" x14ac:dyDescent="0.15">
      <c r="A27" s="524" t="s">
        <v>99</v>
      </c>
      <c r="B27" s="524"/>
      <c r="C27" s="157">
        <v>500</v>
      </c>
      <c r="D27" s="157">
        <v>1000</v>
      </c>
      <c r="E27" s="157">
        <v>2000</v>
      </c>
      <c r="F27" s="157">
        <v>4000</v>
      </c>
      <c r="G27" s="157">
        <v>5000</v>
      </c>
      <c r="H27" s="157">
        <v>10000</v>
      </c>
      <c r="I27" s="157">
        <v>20000</v>
      </c>
      <c r="J27" s="124"/>
      <c r="K27" s="63"/>
      <c r="M27" s="176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5"/>
      <c r="AB27" s="176"/>
      <c r="AC27" s="171"/>
      <c r="AD27" s="171"/>
      <c r="AE27" s="171"/>
      <c r="AF27" s="171"/>
      <c r="AG27" s="171"/>
      <c r="AH27" s="171"/>
      <c r="AI27" s="171"/>
      <c r="AJ27" s="171"/>
      <c r="AK27" s="171"/>
      <c r="AL27" s="171"/>
      <c r="AM27" s="171"/>
      <c r="AN27" s="171"/>
      <c r="AO27" s="175"/>
    </row>
    <row r="28" spans="1:41" s="87" customFormat="1" ht="19" thickBot="1" x14ac:dyDescent="0.2">
      <c r="A28" s="90"/>
      <c r="B28" s="91"/>
      <c r="C28" s="91"/>
      <c r="D28" s="91"/>
      <c r="E28" s="91"/>
      <c r="F28" s="92"/>
      <c r="G28" s="92"/>
      <c r="H28" s="92"/>
      <c r="I28" s="92"/>
      <c r="J28" s="124"/>
      <c r="K28" s="63"/>
      <c r="M28" s="176"/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71"/>
      <c r="Y28" s="171"/>
      <c r="Z28" s="175"/>
      <c r="AB28" s="176"/>
      <c r="AC28" s="171"/>
      <c r="AD28" s="171"/>
      <c r="AE28" s="171"/>
      <c r="AF28" s="171"/>
      <c r="AG28" s="171"/>
      <c r="AH28" s="171"/>
      <c r="AI28" s="171"/>
      <c r="AJ28" s="171"/>
      <c r="AK28" s="171"/>
      <c r="AL28" s="171"/>
      <c r="AM28" s="171"/>
      <c r="AN28" s="171"/>
      <c r="AO28" s="175"/>
    </row>
    <row r="29" spans="1:41" s="87" customFormat="1" ht="18" x14ac:dyDescent="0.15">
      <c r="A29" s="525" t="s">
        <v>70</v>
      </c>
      <c r="B29" s="526"/>
      <c r="C29" s="526"/>
      <c r="D29" s="526"/>
      <c r="E29" s="526"/>
      <c r="F29" s="526"/>
      <c r="G29" s="526"/>
      <c r="H29" s="526"/>
      <c r="I29" s="527"/>
      <c r="J29" s="124"/>
      <c r="K29" s="63"/>
      <c r="L29" s="63"/>
      <c r="M29" s="176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5"/>
      <c r="AB29" s="176"/>
      <c r="AC29" s="171"/>
      <c r="AD29" s="171"/>
      <c r="AE29" s="171"/>
      <c r="AF29" s="171"/>
      <c r="AG29" s="171"/>
      <c r="AH29" s="171"/>
      <c r="AI29" s="171"/>
      <c r="AJ29" s="171"/>
      <c r="AK29" s="171"/>
      <c r="AL29" s="171"/>
      <c r="AM29" s="171"/>
      <c r="AN29" s="171"/>
      <c r="AO29" s="175"/>
    </row>
    <row r="30" spans="1:41" s="87" customFormat="1" ht="18" x14ac:dyDescent="0.15">
      <c r="A30" s="511" t="s">
        <v>100</v>
      </c>
      <c r="B30" s="511"/>
      <c r="C30" s="65">
        <f>(VLOOKUP($B$19,Tablas!$A$9:$I$75,3,TRUE)*C24)+(60)+50</f>
        <v>4225.25</v>
      </c>
      <c r="D30" s="65">
        <f>(VLOOKUP($B$19,Tablas!$A$9:$I$75,4,TRUE)*D24)+(60)+50</f>
        <v>3682.1299999999997</v>
      </c>
      <c r="E30" s="65">
        <f>(VLOOKUP($B$19,Tablas!$A$9:$I$75,5,TRUE)*E24)+(60)+50</f>
        <v>3164.12</v>
      </c>
      <c r="F30" s="65">
        <f>(VLOOKUP($B$19,Tablas!$A$9:$I$75,6,TRUE)*F24)+(60)+50</f>
        <v>2364.3199999999997</v>
      </c>
      <c r="G30" s="65">
        <f>(VLOOKUP($B$19,Tablas!$A$9:$I$75,7,TRUE)*G24)+(60)+50</f>
        <v>1450.1299999999999</v>
      </c>
      <c r="H30" s="65">
        <f>(VLOOKUP($B$19,Tablas!$A$9:$I$75,8,TRUE)*H24)+(60)+50</f>
        <v>995</v>
      </c>
      <c r="I30" s="65">
        <f>(VLOOKUP($B$19,Tablas!$A$9:$I$75,9,TRUE)*I24)+(60)+50</f>
        <v>682</v>
      </c>
      <c r="J30" s="125"/>
      <c r="K30" s="63"/>
      <c r="L30" s="63"/>
      <c r="M30" s="176"/>
      <c r="N30" s="171"/>
      <c r="O30" s="171"/>
      <c r="P30" s="171"/>
      <c r="Q30" s="171"/>
      <c r="R30" s="171"/>
      <c r="S30" s="171"/>
      <c r="T30" s="177"/>
      <c r="U30" s="171"/>
      <c r="V30" s="171"/>
      <c r="W30" s="171"/>
      <c r="X30" s="171"/>
      <c r="Y30" s="171"/>
      <c r="Z30" s="175"/>
      <c r="AB30" s="176"/>
      <c r="AC30" s="171"/>
      <c r="AD30" s="171"/>
      <c r="AE30" s="171"/>
      <c r="AF30" s="171"/>
      <c r="AG30" s="171"/>
      <c r="AH30" s="171"/>
      <c r="AI30" s="177"/>
      <c r="AJ30" s="171"/>
      <c r="AK30" s="171"/>
      <c r="AL30" s="171"/>
      <c r="AM30" s="171"/>
      <c r="AN30" s="171"/>
      <c r="AO30" s="175"/>
    </row>
    <row r="31" spans="1:41" s="87" customFormat="1" ht="18" x14ac:dyDescent="0.15">
      <c r="A31" s="511" t="s">
        <v>101</v>
      </c>
      <c r="B31" s="511"/>
      <c r="C31" s="65">
        <f>(IF($B$15=1,0,(VLOOKUP($I$19,Tablas!$A$9:$I$75,3,TRUE)))*C24)</f>
        <v>3988.7699999999995</v>
      </c>
      <c r="D31" s="65">
        <f>(IF($B$15=1,0,(VLOOKUP($I$19,Tablas!$A$9:$I$75,4,TRUE)))*D24)</f>
        <v>3496.7999999999997</v>
      </c>
      <c r="E31" s="65">
        <f>(IF($B$15=1,0,(VLOOKUP($I$19,Tablas!$A$9:$I$75,5,TRUE)))*E24)</f>
        <v>2875.56</v>
      </c>
      <c r="F31" s="65">
        <f>(IF($B$15=1,0,(VLOOKUP($I$19,Tablas!$A$9:$I$75,6,TRUE)))*F24)</f>
        <v>2109.2399999999998</v>
      </c>
      <c r="G31" s="65">
        <f>(IF($B$15=1,0,(VLOOKUP($I$19,Tablas!$A$9:$I$75,7,TRUE)))*G24)</f>
        <v>1241.55</v>
      </c>
      <c r="H31" s="65">
        <f>(IF($B$15=1,0,(VLOOKUP($I$19,Tablas!$A$9:$I$75,8,TRUE)))*H24)</f>
        <v>810</v>
      </c>
      <c r="I31" s="65">
        <f>(IF($B$15=1,0,(VLOOKUP($I$19,Tablas!$A$9:$I$75,9,TRUE)))*I24)</f>
        <v>518</v>
      </c>
      <c r="J31" s="124"/>
      <c r="K31" s="63"/>
      <c r="L31" s="63"/>
      <c r="M31" s="176"/>
      <c r="N31" s="171"/>
      <c r="O31" s="171"/>
      <c r="P31" s="171"/>
      <c r="Q31" s="171"/>
      <c r="R31" s="171"/>
      <c r="S31" s="171"/>
      <c r="T31" s="85"/>
      <c r="U31" s="171"/>
      <c r="V31" s="171"/>
      <c r="W31" s="171"/>
      <c r="X31" s="171"/>
      <c r="Y31" s="171"/>
      <c r="Z31" s="175"/>
      <c r="AB31" s="176"/>
      <c r="AC31" s="171"/>
      <c r="AD31" s="171"/>
      <c r="AE31" s="171"/>
      <c r="AF31" s="171"/>
      <c r="AG31" s="171"/>
      <c r="AH31" s="171"/>
      <c r="AI31" s="85"/>
      <c r="AJ31" s="171"/>
      <c r="AK31" s="171"/>
      <c r="AL31" s="171"/>
      <c r="AM31" s="171"/>
      <c r="AN31" s="171"/>
      <c r="AO31" s="175"/>
    </row>
    <row r="32" spans="1:41" s="93" customFormat="1" ht="18" x14ac:dyDescent="0.15">
      <c r="A32" s="511" t="s">
        <v>102</v>
      </c>
      <c r="B32" s="511"/>
      <c r="C32" s="65">
        <f>(IF($B$17=0,0,(VLOOKUP($B$17,Tablas!$A$76:$I$78,3,TRUE)))*C24)</f>
        <v>1073.22</v>
      </c>
      <c r="D32" s="65">
        <f>(IF($B$17=0,0,(VLOOKUP($B$17,Tablas!$A$76:$I$78,4,TRUE)))*D24)</f>
        <v>1036.02</v>
      </c>
      <c r="E32" s="65">
        <f>(IF($B$17=0,0,(VLOOKUP($B$17,Tablas!$A$76:$I$78,5,TRUE)))*E24)</f>
        <v>697.5</v>
      </c>
      <c r="F32" s="65">
        <f>(IF($B$17=0,0,(VLOOKUP($B$17,Tablas!$A$76:$I$78,6,TRUE)))*F24)</f>
        <v>623.09999999999991</v>
      </c>
      <c r="G32" s="65">
        <f>(IF($B$17=0,0,(VLOOKUP($B$17,Tablas!$A$76:$I$78,7,TRUE)))*G24)</f>
        <v>435.23999999999995</v>
      </c>
      <c r="H32" s="65">
        <f>(IF($B$17=0,0,(VLOOKUP($B$17,Tablas!$A$76:$I$78,8,TRUE)))*H24)</f>
        <v>368</v>
      </c>
      <c r="I32" s="65">
        <f>(IF($B$17=0,0,(VLOOKUP($B$17,Tablas!$A$76:$I$78,9,TRUE)))*I24)</f>
        <v>225</v>
      </c>
      <c r="J32" s="125"/>
      <c r="K32" s="63"/>
      <c r="L32" s="63"/>
      <c r="M32" s="178"/>
      <c r="N32" s="177"/>
      <c r="O32" s="177"/>
      <c r="P32" s="177"/>
      <c r="Q32" s="177"/>
      <c r="R32" s="177"/>
      <c r="S32" s="177"/>
      <c r="T32" s="85"/>
      <c r="U32" s="177"/>
      <c r="V32" s="177"/>
      <c r="W32" s="177"/>
      <c r="X32" s="177"/>
      <c r="Y32" s="177"/>
      <c r="Z32" s="179"/>
      <c r="AB32" s="178"/>
      <c r="AC32" s="177"/>
      <c r="AD32" s="177"/>
      <c r="AE32" s="177"/>
      <c r="AF32" s="177"/>
      <c r="AG32" s="177"/>
      <c r="AH32" s="177"/>
      <c r="AI32" s="85"/>
      <c r="AJ32" s="177"/>
      <c r="AK32" s="177"/>
      <c r="AL32" s="177"/>
      <c r="AM32" s="177"/>
      <c r="AN32" s="177"/>
      <c r="AO32" s="179"/>
    </row>
    <row r="33" spans="1:41" ht="18" x14ac:dyDescent="0.15">
      <c r="A33" s="518" t="s">
        <v>103</v>
      </c>
      <c r="B33" s="518"/>
      <c r="C33" s="108">
        <f>SUM(C30:C32)</f>
        <v>9287.24</v>
      </c>
      <c r="D33" s="108">
        <f t="shared" ref="D33:I33" si="0">SUM(D30:D32)</f>
        <v>8214.9499999999989</v>
      </c>
      <c r="E33" s="108">
        <f t="shared" si="0"/>
        <v>6737.18</v>
      </c>
      <c r="F33" s="108">
        <f t="shared" si="0"/>
        <v>5096.66</v>
      </c>
      <c r="G33" s="108">
        <f t="shared" si="0"/>
        <v>3126.9199999999996</v>
      </c>
      <c r="H33" s="108">
        <f t="shared" si="0"/>
        <v>2173</v>
      </c>
      <c r="I33" s="108">
        <f t="shared" si="0"/>
        <v>1425</v>
      </c>
      <c r="J33" s="125"/>
      <c r="K33" s="63"/>
      <c r="L33" s="63"/>
      <c r="M33" s="16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164"/>
      <c r="AB33" s="16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164"/>
    </row>
    <row r="34" spans="1:41" ht="39" hidden="1" customHeight="1" thickBot="1" x14ac:dyDescent="0.2">
      <c r="A34" s="477" t="s">
        <v>104</v>
      </c>
      <c r="B34" s="478"/>
      <c r="C34" s="106">
        <f>IF('INGRESO DE DATOS'!$P$3,C33*-15%,0)</f>
        <v>0</v>
      </c>
      <c r="D34" s="106">
        <f>IF('INGRESO DE DATOS'!$P$3,D33*-15%,0)</f>
        <v>0</v>
      </c>
      <c r="E34" s="106">
        <f>IF('INGRESO DE DATOS'!$P$3,E33*-15%,0)</f>
        <v>0</v>
      </c>
      <c r="F34" s="106">
        <f>IF('INGRESO DE DATOS'!$P$3,F33*-15%,0)</f>
        <v>0</v>
      </c>
      <c r="G34" s="223"/>
      <c r="H34" s="223"/>
      <c r="I34" s="107">
        <f>IF('INGRESO DE DATOS'!$P$3,I33*-15%,0)</f>
        <v>0</v>
      </c>
      <c r="J34" s="124"/>
      <c r="K34" s="63"/>
      <c r="L34" s="72"/>
      <c r="M34" s="16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164"/>
      <c r="AB34" s="16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164"/>
    </row>
    <row r="35" spans="1:41" ht="37.5" customHeight="1" thickBot="1" x14ac:dyDescent="0.2">
      <c r="A35" s="509" t="s">
        <v>105</v>
      </c>
      <c r="B35" s="510"/>
      <c r="C35" s="224">
        <f>C33*Tablas!$AD$3</f>
        <v>371.4896</v>
      </c>
      <c r="D35" s="224">
        <f>D33*Tablas!$AD$3</f>
        <v>328.59799999999996</v>
      </c>
      <c r="E35" s="224">
        <f>E33*Tablas!$AD$3</f>
        <v>269.48720000000003</v>
      </c>
      <c r="F35" s="224">
        <f>F33*Tablas!$AD$3</f>
        <v>203.8664</v>
      </c>
      <c r="G35" s="224">
        <f>G33*Tablas!$AD$3</f>
        <v>125.07679999999999</v>
      </c>
      <c r="H35" s="224">
        <f>H33*Tablas!$AD$3</f>
        <v>86.92</v>
      </c>
      <c r="I35" s="224">
        <f>I33*Tablas!$AD$3</f>
        <v>57</v>
      </c>
      <c r="J35" s="124"/>
      <c r="K35" s="72"/>
      <c r="L35" s="72"/>
      <c r="M35" s="165"/>
      <c r="N35" s="85"/>
      <c r="O35" s="85"/>
      <c r="P35" s="85"/>
      <c r="Q35" s="85"/>
      <c r="R35" s="85"/>
      <c r="S35" s="85"/>
      <c r="T35" s="180"/>
      <c r="U35" s="85"/>
      <c r="V35" s="85"/>
      <c r="W35" s="85"/>
      <c r="X35" s="85"/>
      <c r="Y35" s="85"/>
      <c r="Z35" s="164"/>
      <c r="AB35" s="165"/>
      <c r="AC35" s="85"/>
      <c r="AD35" s="85"/>
      <c r="AE35" s="85"/>
      <c r="AF35" s="85"/>
      <c r="AG35" s="85"/>
      <c r="AH35" s="85"/>
      <c r="AI35" s="180"/>
      <c r="AJ35" s="85"/>
      <c r="AK35" s="85"/>
      <c r="AL35" s="85"/>
      <c r="AM35" s="85"/>
      <c r="AN35" s="85"/>
      <c r="AO35" s="164"/>
    </row>
    <row r="36" spans="1:41" ht="19" hidden="1" thickBot="1" x14ac:dyDescent="0.2">
      <c r="A36" s="470" t="s">
        <v>106</v>
      </c>
      <c r="B36" s="471"/>
      <c r="C36" s="65"/>
      <c r="D36" s="65"/>
      <c r="E36" s="65"/>
      <c r="F36" s="65"/>
      <c r="G36" s="65"/>
      <c r="H36" s="65"/>
      <c r="I36" s="65"/>
      <c r="J36" s="124"/>
      <c r="K36" s="72"/>
      <c r="L36" s="72"/>
      <c r="M36" s="165"/>
      <c r="N36" s="85"/>
      <c r="O36" s="85"/>
      <c r="P36" s="85"/>
      <c r="Q36" s="85"/>
      <c r="R36" s="85"/>
      <c r="S36" s="85"/>
      <c r="T36" s="180"/>
      <c r="U36" s="85"/>
      <c r="V36" s="85"/>
      <c r="W36" s="85"/>
      <c r="X36" s="85"/>
      <c r="Y36" s="85"/>
      <c r="Z36" s="164"/>
      <c r="AB36" s="165"/>
      <c r="AC36" s="85"/>
      <c r="AD36" s="85"/>
      <c r="AE36" s="85"/>
      <c r="AF36" s="85"/>
      <c r="AG36" s="85"/>
      <c r="AH36" s="85"/>
      <c r="AI36" s="180"/>
      <c r="AJ36" s="85"/>
      <c r="AK36" s="85"/>
      <c r="AL36" s="85"/>
      <c r="AM36" s="85"/>
      <c r="AN36" s="85"/>
      <c r="AO36" s="164"/>
    </row>
    <row r="37" spans="1:41" ht="19" hidden="1" thickBot="1" x14ac:dyDescent="0.2">
      <c r="A37" s="475" t="s">
        <v>107</v>
      </c>
      <c r="B37" s="476"/>
      <c r="C37" s="66"/>
      <c r="D37" s="66"/>
      <c r="E37" s="66"/>
      <c r="F37" s="66"/>
      <c r="G37" s="66"/>
      <c r="H37" s="66"/>
      <c r="I37" s="66"/>
      <c r="J37" s="125"/>
      <c r="K37" s="72"/>
      <c r="L37" s="63"/>
      <c r="M37" s="16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164"/>
      <c r="AB37" s="16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164"/>
    </row>
    <row r="38" spans="1:41" s="73" customFormat="1" ht="19" thickBot="1" x14ac:dyDescent="0.2">
      <c r="A38" s="531" t="s">
        <v>108</v>
      </c>
      <c r="B38" s="531"/>
      <c r="C38" s="67">
        <f>SUM(C33:C37)</f>
        <v>9658.7296000000006</v>
      </c>
      <c r="D38" s="67">
        <f t="shared" ref="D38:I38" si="1">SUM(D33:D37)</f>
        <v>8543.5479999999989</v>
      </c>
      <c r="E38" s="67">
        <f t="shared" si="1"/>
        <v>7006.6671999999999</v>
      </c>
      <c r="F38" s="67">
        <f t="shared" si="1"/>
        <v>5300.5263999999997</v>
      </c>
      <c r="G38" s="67">
        <f t="shared" si="1"/>
        <v>3251.9967999999994</v>
      </c>
      <c r="H38" s="67">
        <f t="shared" si="1"/>
        <v>2259.92</v>
      </c>
      <c r="I38" s="67">
        <f t="shared" si="1"/>
        <v>1482</v>
      </c>
      <c r="J38" s="123"/>
      <c r="K38" s="63"/>
      <c r="L38" s="72"/>
      <c r="M38" s="181"/>
      <c r="N38" s="180"/>
      <c r="O38" s="180"/>
      <c r="P38" s="180"/>
      <c r="Q38" s="180"/>
      <c r="R38" s="180"/>
      <c r="S38" s="180"/>
      <c r="T38" s="85"/>
      <c r="U38" s="180"/>
      <c r="V38" s="180"/>
      <c r="W38" s="180"/>
      <c r="X38" s="180"/>
      <c r="Y38" s="180"/>
      <c r="Z38" s="182"/>
      <c r="AB38" s="181"/>
      <c r="AC38" s="180"/>
      <c r="AD38" s="180"/>
      <c r="AE38" s="180"/>
      <c r="AF38" s="180"/>
      <c r="AG38" s="180"/>
      <c r="AH38" s="180"/>
      <c r="AI38" s="85"/>
      <c r="AJ38" s="180"/>
      <c r="AK38" s="180"/>
      <c r="AL38" s="180"/>
      <c r="AM38" s="180"/>
      <c r="AN38" s="180"/>
      <c r="AO38" s="182"/>
    </row>
    <row r="39" spans="1:41" ht="18" x14ac:dyDescent="0.15">
      <c r="A39" s="15"/>
      <c r="B39" s="15"/>
      <c r="C39" s="95"/>
      <c r="D39" s="95"/>
      <c r="E39" s="95"/>
      <c r="F39" s="95"/>
      <c r="G39" s="95"/>
      <c r="H39" s="95"/>
      <c r="I39" s="95"/>
      <c r="J39" s="125"/>
      <c r="K39" s="74"/>
      <c r="L39" s="74"/>
      <c r="M39" s="16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164"/>
      <c r="AB39" s="16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164"/>
    </row>
    <row r="40" spans="1:41" ht="18" x14ac:dyDescent="0.15">
      <c r="A40" s="530" t="s">
        <v>112</v>
      </c>
      <c r="B40" s="530"/>
      <c r="C40" s="530"/>
      <c r="D40" s="530"/>
      <c r="E40" s="530"/>
      <c r="F40" s="530"/>
      <c r="G40" s="530"/>
      <c r="H40" s="530"/>
      <c r="I40" s="530"/>
      <c r="J40" s="125"/>
      <c r="K40" s="74"/>
      <c r="L40" s="74"/>
      <c r="M40" s="165"/>
      <c r="N40" s="85"/>
      <c r="O40" s="85"/>
      <c r="P40" s="85"/>
      <c r="Q40" s="85"/>
      <c r="R40" s="85"/>
      <c r="S40" s="85"/>
      <c r="T40" s="180"/>
      <c r="U40" s="85"/>
      <c r="V40" s="85"/>
      <c r="W40" s="85"/>
      <c r="X40" s="85"/>
      <c r="Y40" s="85"/>
      <c r="Z40" s="164"/>
      <c r="AB40" s="165"/>
      <c r="AC40" s="85"/>
      <c r="AD40" s="85"/>
      <c r="AE40" s="85"/>
      <c r="AF40" s="85"/>
      <c r="AG40" s="85"/>
      <c r="AH40" s="85"/>
      <c r="AI40" s="180"/>
      <c r="AJ40" s="85"/>
      <c r="AK40" s="85"/>
      <c r="AL40" s="85"/>
      <c r="AM40" s="85"/>
      <c r="AN40" s="85"/>
      <c r="AO40" s="164"/>
    </row>
    <row r="41" spans="1:41" ht="18" x14ac:dyDescent="0.15">
      <c r="A41" s="470" t="s">
        <v>100</v>
      </c>
      <c r="B41" s="471"/>
      <c r="C41" s="65">
        <f>(C30-60-50)*Tablas!$M$4+(60/2)+50</f>
        <v>2199.3537500000002</v>
      </c>
      <c r="D41" s="65">
        <f>(D30-60-50)*Tablas!$M$4+(60/2)+50</f>
        <v>1919.6469499999998</v>
      </c>
      <c r="E41" s="65">
        <f>(E30-60-50)*Tablas!$M$4+(60/2)+50</f>
        <v>1652.8717999999999</v>
      </c>
      <c r="F41" s="65">
        <f>(F30-60-50)*Tablas!$M$4+(60/2)+50</f>
        <v>1240.9748</v>
      </c>
      <c r="G41" s="65">
        <f>(G30-60-50)*Tablas!$M$4+(60/2)+50</f>
        <v>770.16694999999993</v>
      </c>
      <c r="H41" s="65">
        <f>(H30-60-50)*Tablas!$M$4+(60/2)+50</f>
        <v>535.77500000000009</v>
      </c>
      <c r="I41" s="65">
        <f>(I30-60-50)*Tablas!$M$4+(60/2)+50</f>
        <v>374.58</v>
      </c>
      <c r="J41" s="123"/>
      <c r="K41" s="74"/>
      <c r="L41" s="74"/>
      <c r="M41" s="16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164"/>
      <c r="AB41" s="16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164"/>
    </row>
    <row r="42" spans="1:41" s="73" customFormat="1" ht="18" x14ac:dyDescent="0.15">
      <c r="A42" s="470" t="s">
        <v>101</v>
      </c>
      <c r="B42" s="471"/>
      <c r="C42" s="65">
        <f>C31*Tablas!$M$4</f>
        <v>2054.2165499999996</v>
      </c>
      <c r="D42" s="65">
        <f>D31*Tablas!$M$4</f>
        <v>1800.8519999999999</v>
      </c>
      <c r="E42" s="65">
        <f>E31*Tablas!$M$4</f>
        <v>1480.9133999999999</v>
      </c>
      <c r="F42" s="65">
        <f>F31*Tablas!$M$4</f>
        <v>1086.2585999999999</v>
      </c>
      <c r="G42" s="65">
        <f>G31*Tablas!$M$4</f>
        <v>639.39824999999996</v>
      </c>
      <c r="H42" s="65">
        <f>H31*Tablas!$M$4</f>
        <v>417.15000000000003</v>
      </c>
      <c r="I42" s="65">
        <f>I31*Tablas!$M$4</f>
        <v>266.77</v>
      </c>
      <c r="J42" s="124"/>
      <c r="K42" s="74"/>
      <c r="L42" s="70"/>
      <c r="M42" s="181"/>
      <c r="N42" s="180"/>
      <c r="O42" s="180"/>
      <c r="P42" s="180"/>
      <c r="Q42" s="180"/>
      <c r="R42" s="180"/>
      <c r="S42" s="180"/>
      <c r="T42" s="85"/>
      <c r="U42" s="180"/>
      <c r="V42" s="180"/>
      <c r="W42" s="180"/>
      <c r="X42" s="180"/>
      <c r="Y42" s="180"/>
      <c r="Z42" s="182"/>
      <c r="AB42" s="181"/>
      <c r="AC42" s="180"/>
      <c r="AD42" s="180"/>
      <c r="AE42" s="180"/>
      <c r="AF42" s="180"/>
      <c r="AG42" s="180"/>
      <c r="AH42" s="180"/>
      <c r="AI42" s="85"/>
      <c r="AJ42" s="180"/>
      <c r="AK42" s="180"/>
      <c r="AL42" s="180"/>
      <c r="AM42" s="180"/>
      <c r="AN42" s="180"/>
      <c r="AO42" s="182"/>
    </row>
    <row r="43" spans="1:41" ht="18" x14ac:dyDescent="0.15">
      <c r="A43" s="470" t="s">
        <v>102</v>
      </c>
      <c r="B43" s="471"/>
      <c r="C43" s="94">
        <f>C32*Tablas!$M$4</f>
        <v>552.70830000000001</v>
      </c>
      <c r="D43" s="94">
        <f>D32*Tablas!$M$4</f>
        <v>533.55029999999999</v>
      </c>
      <c r="E43" s="94">
        <f>E32*Tablas!$M$4</f>
        <v>359.21250000000003</v>
      </c>
      <c r="F43" s="94">
        <f>F32*Tablas!$M$4</f>
        <v>320.89649999999995</v>
      </c>
      <c r="G43" s="94">
        <f>G32*Tablas!$M$4</f>
        <v>224.14859999999999</v>
      </c>
      <c r="H43" s="94">
        <f>H32*Tablas!$M$4</f>
        <v>189.52</v>
      </c>
      <c r="I43" s="94">
        <f>I32*Tablas!$M$4</f>
        <v>115.875</v>
      </c>
      <c r="J43" s="124"/>
      <c r="K43" s="70"/>
      <c r="L43" s="70"/>
      <c r="M43" s="185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4"/>
      <c r="AB43" s="185"/>
      <c r="AC43" s="183"/>
      <c r="AD43" s="183"/>
      <c r="AE43" s="183"/>
      <c r="AF43" s="183"/>
      <c r="AG43" s="183"/>
      <c r="AH43" s="183"/>
      <c r="AI43" s="183"/>
      <c r="AJ43" s="183"/>
      <c r="AK43" s="183"/>
      <c r="AL43" s="183"/>
      <c r="AM43" s="183"/>
      <c r="AN43" s="183"/>
      <c r="AO43" s="184"/>
    </row>
    <row r="44" spans="1:41" ht="18" x14ac:dyDescent="0.15">
      <c r="A44" s="532" t="s">
        <v>103</v>
      </c>
      <c r="B44" s="533"/>
      <c r="C44" s="105">
        <f>SUM(C41:C43)</f>
        <v>4806.2785999999996</v>
      </c>
      <c r="D44" s="105">
        <f t="shared" ref="D44:I44" si="2">SUM(D41:D43)</f>
        <v>4254.04925</v>
      </c>
      <c r="E44" s="105">
        <f t="shared" si="2"/>
        <v>3492.9976999999999</v>
      </c>
      <c r="F44" s="105">
        <f t="shared" si="2"/>
        <v>2648.1298999999999</v>
      </c>
      <c r="G44" s="105">
        <f t="shared" si="2"/>
        <v>1633.7138</v>
      </c>
      <c r="H44" s="105">
        <f t="shared" si="2"/>
        <v>1142.4450000000002</v>
      </c>
      <c r="I44" s="105">
        <f t="shared" si="2"/>
        <v>757.22499999999991</v>
      </c>
      <c r="J44" s="124"/>
      <c r="K44" s="70"/>
      <c r="L44" s="63"/>
    </row>
    <row r="45" spans="1:41" ht="38" hidden="1" customHeight="1" thickBot="1" x14ac:dyDescent="0.2">
      <c r="A45" s="534" t="s">
        <v>104</v>
      </c>
      <c r="B45" s="535"/>
      <c r="C45" s="106">
        <f>IF('INGRESO DE DATOS'!$P$3,C44*-15%,0)</f>
        <v>0</v>
      </c>
      <c r="D45" s="106">
        <f>IF('INGRESO DE DATOS'!$P$3,D44*-15%,0)</f>
        <v>0</v>
      </c>
      <c r="E45" s="106">
        <f>IF('INGRESO DE DATOS'!$P$3,E44*-15%,0)</f>
        <v>0</v>
      </c>
      <c r="F45" s="106">
        <f>IF('INGRESO DE DATOS'!$P$3,F44*-15%,0)</f>
        <v>0</v>
      </c>
      <c r="G45" s="223"/>
      <c r="H45" s="223"/>
      <c r="I45" s="107">
        <f>IF('INGRESO DE DATOS'!$P$3,I44*-15%,0)</f>
        <v>0</v>
      </c>
      <c r="J45" s="124"/>
      <c r="K45" s="63"/>
      <c r="L45" s="63"/>
      <c r="T45" s="73"/>
    </row>
    <row r="46" spans="1:41" ht="37.5" customHeight="1" thickBot="1" x14ac:dyDescent="0.2">
      <c r="A46" s="507" t="str">
        <f>A35</f>
        <v>Contribución 3.5% Superintendencia de Bancos
 Contribución 0.5% Seguro Social Campesino</v>
      </c>
      <c r="B46" s="508"/>
      <c r="C46" s="225">
        <f>C44*Tablas!$AD$3</f>
        <v>192.25114399999998</v>
      </c>
      <c r="D46" s="225">
        <f>D44*Tablas!$AD$3</f>
        <v>170.16197</v>
      </c>
      <c r="E46" s="225">
        <f>E44*Tablas!$AD$3</f>
        <v>139.719908</v>
      </c>
      <c r="F46" s="225">
        <f>F44*Tablas!$AD$3</f>
        <v>105.925196</v>
      </c>
      <c r="G46" s="225">
        <f>G44*Tablas!$AD$3</f>
        <v>65.348551999999998</v>
      </c>
      <c r="H46" s="225">
        <f>H44*Tablas!$AD$3</f>
        <v>45.697800000000008</v>
      </c>
      <c r="I46" s="225">
        <f>I44*Tablas!$AD$3</f>
        <v>30.288999999999998</v>
      </c>
      <c r="J46" s="124"/>
      <c r="K46" s="63"/>
      <c r="L46" s="63"/>
    </row>
    <row r="47" spans="1:41" ht="19" hidden="1" thickBot="1" x14ac:dyDescent="0.2">
      <c r="A47" s="470" t="s">
        <v>106</v>
      </c>
      <c r="B47" s="471"/>
      <c r="C47" s="65"/>
      <c r="D47" s="65"/>
      <c r="E47" s="65"/>
      <c r="F47" s="65"/>
      <c r="G47" s="65"/>
      <c r="H47" s="65"/>
      <c r="I47" s="65"/>
      <c r="J47" s="124"/>
      <c r="K47" s="63"/>
      <c r="L47" s="63"/>
    </row>
    <row r="48" spans="1:41" s="73" customFormat="1" ht="19" hidden="1" thickBot="1" x14ac:dyDescent="0.2">
      <c r="A48" s="475" t="s">
        <v>107</v>
      </c>
      <c r="B48" s="476"/>
      <c r="C48" s="66"/>
      <c r="D48" s="66"/>
      <c r="E48" s="66"/>
      <c r="F48" s="66"/>
      <c r="G48" s="66"/>
      <c r="H48" s="66"/>
      <c r="I48" s="66"/>
      <c r="J48" s="124"/>
      <c r="K48" s="63"/>
      <c r="L48" s="63"/>
    </row>
    <row r="49" spans="1:35" ht="19" thickBot="1" x14ac:dyDescent="0.2">
      <c r="A49" s="538" t="s">
        <v>81</v>
      </c>
      <c r="B49" s="538"/>
      <c r="C49" s="67">
        <f>SUM(C44:C48)</f>
        <v>4998.5297439999995</v>
      </c>
      <c r="D49" s="67">
        <f t="shared" ref="D49:I49" si="3">SUM(D44:D48)</f>
        <v>4424.2112200000001</v>
      </c>
      <c r="E49" s="67">
        <f t="shared" si="3"/>
        <v>3632.7176079999999</v>
      </c>
      <c r="F49" s="67">
        <f t="shared" si="3"/>
        <v>2754.055096</v>
      </c>
      <c r="G49" s="67">
        <f t="shared" si="3"/>
        <v>1699.0623519999999</v>
      </c>
      <c r="H49" s="67">
        <f t="shared" si="3"/>
        <v>1188.1428000000001</v>
      </c>
      <c r="I49" s="67">
        <f t="shared" si="3"/>
        <v>787.5139999999999</v>
      </c>
      <c r="J49" s="124"/>
      <c r="K49" s="63"/>
      <c r="L49" s="70"/>
    </row>
    <row r="50" spans="1:35" ht="19" thickBot="1" x14ac:dyDescent="0.2">
      <c r="A50" s="537" t="s">
        <v>82</v>
      </c>
      <c r="B50" s="537"/>
      <c r="C50" s="104">
        <f>C44+C46-52</f>
        <v>4946.5297439999995</v>
      </c>
      <c r="D50" s="104">
        <f t="shared" ref="D50:I50" si="4">D44+D46-52</f>
        <v>4372.2112200000001</v>
      </c>
      <c r="E50" s="104">
        <f t="shared" si="4"/>
        <v>3580.7176079999999</v>
      </c>
      <c r="F50" s="104">
        <f t="shared" si="4"/>
        <v>2702.055096</v>
      </c>
      <c r="G50" s="104">
        <f t="shared" si="4"/>
        <v>1647.0623519999999</v>
      </c>
      <c r="H50" s="104">
        <f t="shared" si="4"/>
        <v>1136.1428000000001</v>
      </c>
      <c r="I50" s="104">
        <f t="shared" si="4"/>
        <v>735.5139999999999</v>
      </c>
      <c r="J50" s="124"/>
      <c r="K50" s="70"/>
      <c r="L50" s="70"/>
    </row>
    <row r="51" spans="1:35" ht="19" thickBot="1" x14ac:dyDescent="0.2">
      <c r="A51" s="536" t="s">
        <v>108</v>
      </c>
      <c r="B51" s="536"/>
      <c r="C51" s="103">
        <f>C49+C50</f>
        <v>9945.059487999999</v>
      </c>
      <c r="D51" s="103">
        <f t="shared" ref="D51:I51" si="5">D49+D50</f>
        <v>8796.4224400000003</v>
      </c>
      <c r="E51" s="103">
        <f t="shared" si="5"/>
        <v>7213.4352159999999</v>
      </c>
      <c r="F51" s="103">
        <f t="shared" si="5"/>
        <v>5456.1101920000001</v>
      </c>
      <c r="G51" s="103">
        <f t="shared" si="5"/>
        <v>3346.1247039999998</v>
      </c>
      <c r="H51" s="103">
        <f t="shared" si="5"/>
        <v>2324.2856000000002</v>
      </c>
      <c r="I51" s="103">
        <f t="shared" si="5"/>
        <v>1523.0279999999998</v>
      </c>
      <c r="J51" s="124"/>
      <c r="K51" s="70"/>
      <c r="L51" s="96"/>
      <c r="T51" s="73"/>
    </row>
    <row r="52" spans="1:35" ht="18" x14ac:dyDescent="0.15">
      <c r="A52" s="15"/>
      <c r="B52" s="15"/>
      <c r="C52" s="95"/>
      <c r="D52" s="95"/>
      <c r="E52" s="95"/>
      <c r="F52" s="97"/>
      <c r="G52" s="97"/>
      <c r="H52" s="97"/>
      <c r="I52" s="97"/>
      <c r="J52" s="124"/>
      <c r="K52" s="96"/>
      <c r="L52" s="96"/>
    </row>
    <row r="53" spans="1:35" ht="18" x14ac:dyDescent="0.15">
      <c r="A53" s="530" t="s">
        <v>84</v>
      </c>
      <c r="B53" s="530"/>
      <c r="C53" s="530"/>
      <c r="D53" s="530"/>
      <c r="E53" s="530"/>
      <c r="F53" s="530"/>
      <c r="G53" s="530"/>
      <c r="H53" s="530"/>
      <c r="I53" s="530"/>
      <c r="J53" s="124"/>
      <c r="K53" s="96"/>
    </row>
    <row r="54" spans="1:35" s="73" customFormat="1" ht="18" x14ac:dyDescent="0.15">
      <c r="A54" s="470" t="s">
        <v>100</v>
      </c>
      <c r="B54" s="471"/>
      <c r="C54" s="65">
        <f>(C30-60-50)*Tablas!$M$3+(60/4)+50</f>
        <v>1140.1090624999999</v>
      </c>
      <c r="D54" s="65">
        <f>(D30-60-50)*Tablas!$M$3+(60/4)+50</f>
        <v>998.21896249999986</v>
      </c>
      <c r="E54" s="65">
        <f>(E30-60-50)*Tablas!$M$3+(60/4)+50</f>
        <v>862.88884999999993</v>
      </c>
      <c r="F54" s="65">
        <f>(F30-60-50)*Tablas!$M$3+(60/4)+50</f>
        <v>653.94109999999989</v>
      </c>
      <c r="G54" s="65">
        <f>(G30-60-50)*Tablas!$M$3+(60/4)+50</f>
        <v>415.10896249999996</v>
      </c>
      <c r="H54" s="65">
        <f>(H30-60-50)*Tablas!$M$3+(60/4)+50</f>
        <v>296.20624999999995</v>
      </c>
      <c r="I54" s="65">
        <f>(I30-60-50)*Tablas!$M$3+(60/4)+50</f>
        <v>214.435</v>
      </c>
      <c r="J54" s="124"/>
      <c r="K54" s="71"/>
      <c r="L54" s="71"/>
      <c r="T54" s="71"/>
    </row>
    <row r="55" spans="1:35" ht="18" x14ac:dyDescent="0.15">
      <c r="A55" s="470" t="s">
        <v>101</v>
      </c>
      <c r="B55" s="471"/>
      <c r="C55" s="65">
        <f>C31*Tablas!$M$3</f>
        <v>1042.0661624999998</v>
      </c>
      <c r="D55" s="65">
        <f>D31*Tablas!$M$3</f>
        <v>913.53899999999987</v>
      </c>
      <c r="E55" s="65">
        <f>E31*Tablas!$M$3</f>
        <v>751.24004999999988</v>
      </c>
      <c r="F55" s="65">
        <f>F31*Tablas!$M$3</f>
        <v>551.03894999999989</v>
      </c>
      <c r="G55" s="65">
        <f>G31*Tablas!$M$3</f>
        <v>324.35493749999995</v>
      </c>
      <c r="H55" s="65">
        <f>H31*Tablas!$M$3</f>
        <v>211.61249999999998</v>
      </c>
      <c r="I55" s="65">
        <f>I31*Tablas!$M$3</f>
        <v>135.32749999999999</v>
      </c>
      <c r="J55" s="123"/>
      <c r="T55" s="73"/>
      <c r="AI55" s="73"/>
    </row>
    <row r="56" spans="1:35" ht="18" x14ac:dyDescent="0.15">
      <c r="A56" s="470" t="s">
        <v>102</v>
      </c>
      <c r="B56" s="471"/>
      <c r="C56" s="65">
        <f>C32*Tablas!$M$3</f>
        <v>280.37872499999997</v>
      </c>
      <c r="D56" s="65">
        <f>D32*Tablas!$M$3</f>
        <v>270.66022499999997</v>
      </c>
      <c r="E56" s="65">
        <f>E32*Tablas!$M$3</f>
        <v>182.22187499999998</v>
      </c>
      <c r="F56" s="65">
        <f>F32*Tablas!$M$3</f>
        <v>162.78487499999997</v>
      </c>
      <c r="G56" s="65">
        <f>G32*Tablas!$M$3</f>
        <v>113.70644999999998</v>
      </c>
      <c r="H56" s="65">
        <f>H32*Tablas!$M$3</f>
        <v>96.139999999999986</v>
      </c>
      <c r="I56" s="65">
        <f>I32*Tablas!$M$3</f>
        <v>58.781249999999993</v>
      </c>
      <c r="J56" s="125"/>
    </row>
    <row r="57" spans="1:35" ht="18" x14ac:dyDescent="0.15">
      <c r="A57" s="551" t="s">
        <v>103</v>
      </c>
      <c r="B57" s="552"/>
      <c r="C57" s="105">
        <f>SUM(C54:C56)</f>
        <v>2462.55395</v>
      </c>
      <c r="D57" s="105">
        <f t="shared" ref="D57:I57" si="6">SUM(D54:D56)</f>
        <v>2182.4181874999999</v>
      </c>
      <c r="E57" s="105">
        <f t="shared" si="6"/>
        <v>1796.3507749999997</v>
      </c>
      <c r="F57" s="105">
        <f t="shared" si="6"/>
        <v>1367.7649249999997</v>
      </c>
      <c r="G57" s="105">
        <f t="shared" si="6"/>
        <v>853.17034999999998</v>
      </c>
      <c r="H57" s="105">
        <f t="shared" si="6"/>
        <v>603.9587499999999</v>
      </c>
      <c r="I57" s="105">
        <f t="shared" si="6"/>
        <v>408.54374999999999</v>
      </c>
      <c r="J57" s="124"/>
    </row>
    <row r="58" spans="1:35" ht="38" hidden="1" customHeight="1" thickBot="1" x14ac:dyDescent="0.2">
      <c r="A58" s="534" t="s">
        <v>113</v>
      </c>
      <c r="B58" s="535"/>
      <c r="C58" s="106">
        <f>IF('INGRESO DE DATOS'!$P$3,C57*-15%,0)</f>
        <v>0</v>
      </c>
      <c r="D58" s="106">
        <f>IF('INGRESO DE DATOS'!$P$3,D57*-15%,0)</f>
        <v>0</v>
      </c>
      <c r="E58" s="106">
        <f>IF('INGRESO DE DATOS'!$P$3,E57*-15%,0)</f>
        <v>0</v>
      </c>
      <c r="F58" s="106">
        <f>IF('INGRESO DE DATOS'!$P$3,F57*-15%,0)</f>
        <v>0</v>
      </c>
      <c r="G58" s="223"/>
      <c r="H58" s="223"/>
      <c r="I58" s="107">
        <f>IF('INGRESO DE DATOS'!$P$3,I57*-15%,0)</f>
        <v>0</v>
      </c>
      <c r="J58" s="124"/>
    </row>
    <row r="59" spans="1:35" s="73" customFormat="1" ht="39.75" customHeight="1" thickBot="1" x14ac:dyDescent="0.2">
      <c r="A59" s="540" t="str">
        <f>A35</f>
        <v>Contribución 3.5% Superintendencia de Bancos
 Contribución 0.5% Seguro Social Campesino</v>
      </c>
      <c r="B59" s="541"/>
      <c r="C59" s="224">
        <f>C57*Tablas!$AD$3</f>
        <v>98.502158000000009</v>
      </c>
      <c r="D59" s="224">
        <f>D57*Tablas!$AD$3</f>
        <v>87.296727500000003</v>
      </c>
      <c r="E59" s="224">
        <f>E57*Tablas!$AD$3</f>
        <v>71.854030999999992</v>
      </c>
      <c r="F59" s="224">
        <f>F57*Tablas!$AD$3</f>
        <v>54.710596999999993</v>
      </c>
      <c r="G59" s="224">
        <f>G57*Tablas!$AD$3</f>
        <v>34.126814000000003</v>
      </c>
      <c r="H59" s="224">
        <f>H57*Tablas!$AD$3</f>
        <v>24.158349999999995</v>
      </c>
      <c r="I59" s="224">
        <f>I57*Tablas!$AD$3</f>
        <v>16.341750000000001</v>
      </c>
      <c r="J59" s="123"/>
      <c r="K59" s="71"/>
      <c r="L59" s="71"/>
      <c r="T59" s="71"/>
      <c r="AI59" s="71"/>
    </row>
    <row r="60" spans="1:35" s="73" customFormat="1" ht="19" hidden="1" thickBot="1" x14ac:dyDescent="0.2">
      <c r="A60" s="470" t="s">
        <v>106</v>
      </c>
      <c r="B60" s="471"/>
      <c r="C60" s="65"/>
      <c r="D60" s="65"/>
      <c r="E60" s="65"/>
      <c r="F60" s="65"/>
      <c r="G60" s="65"/>
      <c r="H60" s="65"/>
      <c r="I60" s="65"/>
      <c r="J60" s="123"/>
      <c r="K60" s="71"/>
      <c r="L60" s="71"/>
      <c r="T60" s="71"/>
      <c r="AI60" s="71"/>
    </row>
    <row r="61" spans="1:35" ht="19" hidden="1" thickBot="1" x14ac:dyDescent="0.2">
      <c r="A61" s="475" t="s">
        <v>107</v>
      </c>
      <c r="B61" s="476"/>
      <c r="C61" s="66"/>
      <c r="D61" s="66"/>
      <c r="E61" s="66"/>
      <c r="F61" s="66"/>
      <c r="G61" s="66"/>
      <c r="H61" s="66"/>
      <c r="I61" s="66"/>
      <c r="J61" s="124"/>
    </row>
    <row r="62" spans="1:35" ht="19" thickBot="1" x14ac:dyDescent="0.2">
      <c r="A62" s="539" t="s">
        <v>81</v>
      </c>
      <c r="B62" s="539"/>
      <c r="C62" s="67">
        <f>SUM(C57:C61)</f>
        <v>2561.0561079999998</v>
      </c>
      <c r="D62" s="67">
        <f t="shared" ref="D62:I62" si="7">SUM(D57:D61)</f>
        <v>2269.714915</v>
      </c>
      <c r="E62" s="67">
        <f t="shared" si="7"/>
        <v>1868.2048059999997</v>
      </c>
      <c r="F62" s="67">
        <f t="shared" si="7"/>
        <v>1422.4755219999997</v>
      </c>
      <c r="G62" s="67">
        <f t="shared" si="7"/>
        <v>887.29716399999995</v>
      </c>
      <c r="H62" s="67">
        <f t="shared" si="7"/>
        <v>628.11709999999994</v>
      </c>
      <c r="I62" s="67">
        <f t="shared" si="7"/>
        <v>424.88549999999998</v>
      </c>
      <c r="J62" s="125"/>
      <c r="T62" s="73"/>
      <c r="AI62" s="73"/>
    </row>
    <row r="63" spans="1:35" ht="19" thickBot="1" x14ac:dyDescent="0.2">
      <c r="A63" s="537" t="s">
        <v>85</v>
      </c>
      <c r="B63" s="537"/>
      <c r="C63" s="104">
        <f>C57+C59-52</f>
        <v>2509.0561079999998</v>
      </c>
      <c r="D63" s="104">
        <f t="shared" ref="D63:I63" si="8">D57+D59-52</f>
        <v>2217.714915</v>
      </c>
      <c r="E63" s="104">
        <f t="shared" si="8"/>
        <v>1816.2048059999997</v>
      </c>
      <c r="F63" s="104">
        <f t="shared" si="8"/>
        <v>1370.4755219999997</v>
      </c>
      <c r="G63" s="104">
        <f t="shared" si="8"/>
        <v>835.29716399999995</v>
      </c>
      <c r="H63" s="104">
        <f t="shared" si="8"/>
        <v>576.11709999999994</v>
      </c>
      <c r="I63" s="104">
        <f t="shared" si="8"/>
        <v>372.88549999999998</v>
      </c>
      <c r="J63" s="125"/>
    </row>
    <row r="64" spans="1:35" ht="19" thickBot="1" x14ac:dyDescent="0.2">
      <c r="A64" s="537" t="s">
        <v>108</v>
      </c>
      <c r="B64" s="537"/>
      <c r="C64" s="104">
        <f>C62+(C63*3)</f>
        <v>10088.224431999999</v>
      </c>
      <c r="D64" s="104">
        <f t="shared" ref="D64:I64" si="9">D62+(D63*3)</f>
        <v>8922.8596600000001</v>
      </c>
      <c r="E64" s="104">
        <f t="shared" si="9"/>
        <v>7316.8192239999989</v>
      </c>
      <c r="F64" s="104">
        <f t="shared" si="9"/>
        <v>5533.9020879999989</v>
      </c>
      <c r="G64" s="104">
        <f t="shared" si="9"/>
        <v>3393.1886559999998</v>
      </c>
      <c r="H64" s="104">
        <f t="shared" si="9"/>
        <v>2356.4683999999997</v>
      </c>
      <c r="I64" s="104">
        <f t="shared" si="9"/>
        <v>1543.5419999999999</v>
      </c>
      <c r="J64" s="125"/>
    </row>
    <row r="65" spans="1:35" ht="18" x14ac:dyDescent="0.15">
      <c r="A65" s="15"/>
      <c r="B65" s="15"/>
      <c r="C65" s="95"/>
      <c r="D65" s="95"/>
      <c r="E65" s="95"/>
      <c r="F65" s="97"/>
      <c r="G65" s="97"/>
      <c r="H65" s="97"/>
      <c r="I65" s="97"/>
      <c r="J65" s="121"/>
    </row>
    <row r="66" spans="1:35" ht="18" x14ac:dyDescent="0.15">
      <c r="A66" s="530" t="s">
        <v>86</v>
      </c>
      <c r="B66" s="530"/>
      <c r="C66" s="530"/>
      <c r="D66" s="530"/>
      <c r="E66" s="530"/>
      <c r="F66" s="530"/>
      <c r="G66" s="530"/>
      <c r="H66" s="530"/>
      <c r="I66" s="530"/>
      <c r="J66" s="124"/>
    </row>
    <row r="67" spans="1:35" ht="18" x14ac:dyDescent="0.15">
      <c r="A67" s="470" t="s">
        <v>100</v>
      </c>
      <c r="B67" s="471"/>
      <c r="C67" s="65">
        <f>(C30-60-50)*Tablas!$M$2+(60/12)+50</f>
        <v>418.51375000000002</v>
      </c>
      <c r="D67" s="65">
        <f>(D30-60-50)*Tablas!$M$2+(60/12)+50</f>
        <v>370.53814999999997</v>
      </c>
      <c r="E67" s="65">
        <f>(E30-60-50)*Tablas!$M$2+(60/12)+50</f>
        <v>324.78059999999999</v>
      </c>
      <c r="F67" s="65">
        <f>(F30-60-50)*Tablas!$M$2+(60/12)+50</f>
        <v>254.13159999999996</v>
      </c>
      <c r="G67" s="65">
        <f>(G30-60-50)*Tablas!$M$2+(60/12)+50</f>
        <v>173.37815000000001</v>
      </c>
      <c r="H67" s="65">
        <f>(H30-60-50)*Tablas!$M$2+(60/12)+50</f>
        <v>133.17500000000001</v>
      </c>
      <c r="I67" s="65">
        <f>(I30-60-50)*Tablas!$M$2+(60/12)+50</f>
        <v>105.52666666666667</v>
      </c>
      <c r="J67" s="121"/>
    </row>
    <row r="68" spans="1:35" ht="18" x14ac:dyDescent="0.15">
      <c r="A68" s="470" t="s">
        <v>101</v>
      </c>
      <c r="B68" s="471"/>
      <c r="C68" s="65">
        <f>C31*Tablas!$M$2</f>
        <v>352.34134999999998</v>
      </c>
      <c r="D68" s="65">
        <f>D31*Tablas!$M$2</f>
        <v>308.88399999999996</v>
      </c>
      <c r="E68" s="65">
        <f>E31*Tablas!$M$2</f>
        <v>254.0078</v>
      </c>
      <c r="F68" s="65">
        <f>F31*Tablas!$M$2</f>
        <v>186.31619999999998</v>
      </c>
      <c r="G68" s="65">
        <f>G31*Tablas!$M$2</f>
        <v>109.67025</v>
      </c>
      <c r="H68" s="65">
        <f>H31*Tablas!$M$2</f>
        <v>71.55</v>
      </c>
      <c r="I68" s="65">
        <f>I31*Tablas!$M$2</f>
        <v>45.756666666666668</v>
      </c>
      <c r="J68" s="121"/>
      <c r="T68" s="73"/>
      <c r="AI68" s="73"/>
    </row>
    <row r="69" spans="1:35" ht="18" x14ac:dyDescent="0.15">
      <c r="A69" s="470" t="s">
        <v>102</v>
      </c>
      <c r="B69" s="471"/>
      <c r="C69" s="65">
        <f>C32*Tablas!$M$2</f>
        <v>94.801100000000005</v>
      </c>
      <c r="D69" s="65">
        <f>D32*Tablas!$M$2</f>
        <v>91.515100000000004</v>
      </c>
      <c r="E69" s="65">
        <f>E32*Tablas!$M$2</f>
        <v>61.612499999999997</v>
      </c>
      <c r="F69" s="65">
        <f>F32*Tablas!$M$2</f>
        <v>55.040499999999994</v>
      </c>
      <c r="G69" s="65">
        <f>G32*Tablas!$M$2</f>
        <v>38.446199999999997</v>
      </c>
      <c r="H69" s="65">
        <f>H32*Tablas!$M$2</f>
        <v>32.506666666666668</v>
      </c>
      <c r="I69" s="65">
        <f>I32*Tablas!$M$2</f>
        <v>19.875</v>
      </c>
      <c r="J69" s="123"/>
      <c r="T69" s="73"/>
      <c r="AI69" s="73"/>
    </row>
    <row r="70" spans="1:35" ht="18" x14ac:dyDescent="0.15">
      <c r="A70" s="551" t="s">
        <v>103</v>
      </c>
      <c r="B70" s="552"/>
      <c r="C70" s="105">
        <f>SUM(C67:C69)</f>
        <v>865.65620000000001</v>
      </c>
      <c r="D70" s="105">
        <f t="shared" ref="D70:I70" si="10">SUM(D67:D69)</f>
        <v>770.93724999999984</v>
      </c>
      <c r="E70" s="105">
        <f t="shared" si="10"/>
        <v>640.40089999999998</v>
      </c>
      <c r="F70" s="105">
        <f t="shared" si="10"/>
        <v>495.48829999999992</v>
      </c>
      <c r="G70" s="105">
        <f t="shared" si="10"/>
        <v>321.49459999999999</v>
      </c>
      <c r="H70" s="105">
        <f t="shared" si="10"/>
        <v>237.23166666666668</v>
      </c>
      <c r="I70" s="105">
        <f t="shared" si="10"/>
        <v>171.15833333333333</v>
      </c>
      <c r="J70" s="125"/>
    </row>
    <row r="71" spans="1:35" ht="38" hidden="1" customHeight="1" thickBot="1" x14ac:dyDescent="0.2">
      <c r="A71" s="534" t="s">
        <v>104</v>
      </c>
      <c r="B71" s="535"/>
      <c r="C71" s="106">
        <f>IF('INGRESO DE DATOS'!$P$3,C70*-15%,0)</f>
        <v>0</v>
      </c>
      <c r="D71" s="106">
        <f>IF('INGRESO DE DATOS'!$P$3,D70*-15%,0)</f>
        <v>0</v>
      </c>
      <c r="E71" s="106">
        <f>IF('INGRESO DE DATOS'!$P$3,E70*-15%,0)</f>
        <v>0</v>
      </c>
      <c r="F71" s="106">
        <f>IF('INGRESO DE DATOS'!$P$3,F70*-15%,0)</f>
        <v>0</v>
      </c>
      <c r="G71" s="223"/>
      <c r="H71" s="223"/>
      <c r="I71" s="107">
        <f>IF('INGRESO DE DATOS'!$P$3,I70*-15%,0)</f>
        <v>0</v>
      </c>
      <c r="J71" s="125"/>
    </row>
    <row r="72" spans="1:35" ht="39.75" customHeight="1" thickBot="1" x14ac:dyDescent="0.2">
      <c r="A72" s="540" t="str">
        <f>A59</f>
        <v>Contribución 3.5% Superintendencia de Bancos
 Contribución 0.5% Seguro Social Campesino</v>
      </c>
      <c r="B72" s="541"/>
      <c r="C72" s="224">
        <f>C70*Tablas!$AD$3</f>
        <v>34.626248000000004</v>
      </c>
      <c r="D72" s="224">
        <f>D70*Tablas!$AD$3</f>
        <v>30.837489999999995</v>
      </c>
      <c r="E72" s="224">
        <f>E70*Tablas!$AD$3</f>
        <v>25.616036000000001</v>
      </c>
      <c r="F72" s="224">
        <f>F70*Tablas!$AD$3</f>
        <v>19.819531999999999</v>
      </c>
      <c r="G72" s="224">
        <f>G70*Tablas!$AD$3</f>
        <v>12.859783999999999</v>
      </c>
      <c r="H72" s="224">
        <f>H70*Tablas!$AD$3</f>
        <v>9.4892666666666674</v>
      </c>
      <c r="I72" s="224">
        <f>I70*Tablas!$AD$3</f>
        <v>6.8463333333333338</v>
      </c>
      <c r="J72" s="125"/>
    </row>
    <row r="73" spans="1:35" ht="19" hidden="1" thickBot="1" x14ac:dyDescent="0.2">
      <c r="A73" s="470" t="s">
        <v>106</v>
      </c>
      <c r="B73" s="471"/>
      <c r="C73" s="65"/>
      <c r="D73" s="65"/>
      <c r="E73" s="65"/>
      <c r="F73" s="65"/>
      <c r="G73" s="65"/>
      <c r="H73" s="65"/>
      <c r="I73" s="65"/>
      <c r="J73" s="125"/>
    </row>
    <row r="74" spans="1:35" ht="19" hidden="1" thickBot="1" x14ac:dyDescent="0.2">
      <c r="A74" s="475" t="s">
        <v>107</v>
      </c>
      <c r="B74" s="476"/>
      <c r="C74" s="66"/>
      <c r="D74" s="66"/>
      <c r="E74" s="66"/>
      <c r="F74" s="66"/>
      <c r="G74" s="66"/>
      <c r="H74" s="66"/>
      <c r="I74" s="66"/>
      <c r="J74" s="123"/>
    </row>
    <row r="75" spans="1:35" ht="19" thickBot="1" x14ac:dyDescent="0.2">
      <c r="A75" s="538" t="s">
        <v>81</v>
      </c>
      <c r="B75" s="538"/>
      <c r="C75" s="67">
        <f>SUM(C70:C74)</f>
        <v>900.28244800000004</v>
      </c>
      <c r="D75" s="67">
        <f t="shared" ref="D75:I75" si="11">SUM(D70:D74)</f>
        <v>801.77473999999984</v>
      </c>
      <c r="E75" s="67">
        <f t="shared" si="11"/>
        <v>666.01693599999999</v>
      </c>
      <c r="F75" s="67">
        <f t="shared" si="11"/>
        <v>515.30783199999996</v>
      </c>
      <c r="G75" s="67">
        <f t="shared" si="11"/>
        <v>334.35438399999998</v>
      </c>
      <c r="H75" s="67">
        <f t="shared" si="11"/>
        <v>246.72093333333336</v>
      </c>
      <c r="I75" s="67">
        <f t="shared" si="11"/>
        <v>178.00466666666665</v>
      </c>
      <c r="J75" s="126"/>
    </row>
    <row r="76" spans="1:35" ht="19" thickBot="1" x14ac:dyDescent="0.2">
      <c r="A76" s="537" t="s">
        <v>87</v>
      </c>
      <c r="B76" s="537"/>
      <c r="C76" s="104">
        <f>C70+C72-52</f>
        <v>848.28244800000004</v>
      </c>
      <c r="D76" s="104">
        <f t="shared" ref="D76:I76" si="12">D70+D72-52</f>
        <v>749.77473999999984</v>
      </c>
      <c r="E76" s="104">
        <f t="shared" si="12"/>
        <v>614.01693599999999</v>
      </c>
      <c r="F76" s="104">
        <f t="shared" si="12"/>
        <v>463.30783199999996</v>
      </c>
      <c r="G76" s="104">
        <f t="shared" si="12"/>
        <v>282.35438399999998</v>
      </c>
      <c r="H76" s="104">
        <f t="shared" si="12"/>
        <v>194.72093333333336</v>
      </c>
      <c r="I76" s="104">
        <f t="shared" si="12"/>
        <v>126.00466666666665</v>
      </c>
      <c r="J76" s="124"/>
    </row>
    <row r="77" spans="1:35" ht="19" thickBot="1" x14ac:dyDescent="0.2">
      <c r="A77" s="537" t="s">
        <v>108</v>
      </c>
      <c r="B77" s="537"/>
      <c r="C77" s="104">
        <f>C75+(C76*11)</f>
        <v>10231.389376000001</v>
      </c>
      <c r="D77" s="104">
        <f t="shared" ref="D77:I77" si="13">D75+(D76*11)</f>
        <v>9049.2968799999981</v>
      </c>
      <c r="E77" s="104">
        <f t="shared" si="13"/>
        <v>7420.2032319999998</v>
      </c>
      <c r="F77" s="104">
        <f t="shared" si="13"/>
        <v>5611.6939839999995</v>
      </c>
      <c r="G77" s="104">
        <f t="shared" si="13"/>
        <v>3440.2526079999998</v>
      </c>
      <c r="H77" s="104">
        <f t="shared" si="13"/>
        <v>2388.6512000000007</v>
      </c>
      <c r="I77" s="104">
        <f t="shared" si="13"/>
        <v>1564.0559999999998</v>
      </c>
      <c r="J77" s="124"/>
    </row>
    <row r="78" spans="1:35" x14ac:dyDescent="0.15">
      <c r="J78" s="124"/>
    </row>
    <row r="79" spans="1:35" x14ac:dyDescent="0.15">
      <c r="A79" s="542" t="s">
        <v>114</v>
      </c>
      <c r="B79" s="543"/>
      <c r="C79" s="543"/>
      <c r="D79" s="543"/>
      <c r="E79" s="543"/>
      <c r="F79" s="543"/>
      <c r="G79" s="543"/>
      <c r="H79" s="543"/>
      <c r="I79" s="544"/>
      <c r="J79" s="124"/>
    </row>
    <row r="80" spans="1:35" x14ac:dyDescent="0.15">
      <c r="A80" s="545"/>
      <c r="B80" s="546"/>
      <c r="C80" s="546"/>
      <c r="D80" s="546"/>
      <c r="E80" s="546"/>
      <c r="F80" s="546"/>
      <c r="G80" s="546"/>
      <c r="H80" s="546"/>
      <c r="I80" s="547"/>
      <c r="J80" s="124"/>
    </row>
    <row r="81" spans="1:34" x14ac:dyDescent="0.15">
      <c r="A81" s="545"/>
      <c r="B81" s="546"/>
      <c r="C81" s="546"/>
      <c r="D81" s="546"/>
      <c r="E81" s="546"/>
      <c r="F81" s="546"/>
      <c r="G81" s="546"/>
      <c r="H81" s="546"/>
      <c r="I81" s="547"/>
      <c r="J81" s="123"/>
    </row>
    <row r="82" spans="1:34" x14ac:dyDescent="0.15">
      <c r="A82" s="545"/>
      <c r="B82" s="546"/>
      <c r="C82" s="546"/>
      <c r="D82" s="546"/>
      <c r="E82" s="546"/>
      <c r="F82" s="546"/>
      <c r="G82" s="546"/>
      <c r="H82" s="546"/>
      <c r="I82" s="547"/>
      <c r="J82" s="125"/>
      <c r="M82" s="63"/>
      <c r="N82" s="63"/>
      <c r="O82" s="63"/>
      <c r="P82" s="63"/>
      <c r="Q82" s="63"/>
      <c r="R82" s="63"/>
      <c r="S82" s="63"/>
      <c r="AB82" s="63"/>
      <c r="AC82" s="63"/>
      <c r="AD82" s="63"/>
      <c r="AE82" s="63"/>
      <c r="AF82" s="63"/>
      <c r="AG82" s="63"/>
      <c r="AH82" s="63"/>
    </row>
    <row r="83" spans="1:34" x14ac:dyDescent="0.15">
      <c r="A83" s="548"/>
      <c r="B83" s="549"/>
      <c r="C83" s="549"/>
      <c r="D83" s="549"/>
      <c r="E83" s="549"/>
      <c r="F83" s="549"/>
      <c r="G83" s="549"/>
      <c r="H83" s="549"/>
      <c r="I83" s="550"/>
      <c r="J83" s="127"/>
    </row>
    <row r="84" spans="1:34" x14ac:dyDescent="0.15">
      <c r="I84" s="75"/>
      <c r="J84" s="127"/>
    </row>
    <row r="85" spans="1:34" x14ac:dyDescent="0.15">
      <c r="J85" s="124"/>
    </row>
  </sheetData>
  <sheetProtection algorithmName="SHA-512" hashValue="6Yc0YPCAQFEjHwpUo2JOOB6HAhDHM5qNvM8hGIr8zjxq5n0jFXUhyc29FGQ3ksfT7UUBfzyai3fom66VHkf99A==" saltValue="SxZRP6bRygzJrpTFVz/h8Q==" spinCount="100000" sheet="1" objects="1" scenarios="1"/>
  <mergeCells count="59">
    <mergeCell ref="M1:Z1"/>
    <mergeCell ref="AB1:AO1"/>
    <mergeCell ref="A74:B74"/>
    <mergeCell ref="A75:B75"/>
    <mergeCell ref="A57:B57"/>
    <mergeCell ref="A23:B23"/>
    <mergeCell ref="A56:B56"/>
    <mergeCell ref="A60:B60"/>
    <mergeCell ref="A61:B61"/>
    <mergeCell ref="A67:B67"/>
    <mergeCell ref="A68:B68"/>
    <mergeCell ref="A69:B69"/>
    <mergeCell ref="A53:I53"/>
    <mergeCell ref="A64:B64"/>
    <mergeCell ref="A63:B63"/>
    <mergeCell ref="A43:B43"/>
    <mergeCell ref="A76:B76"/>
    <mergeCell ref="A77:B77"/>
    <mergeCell ref="A79:I83"/>
    <mergeCell ref="A70:B70"/>
    <mergeCell ref="A71:B71"/>
    <mergeCell ref="A72:B72"/>
    <mergeCell ref="A73:B73"/>
    <mergeCell ref="A62:B62"/>
    <mergeCell ref="A66:I66"/>
    <mergeCell ref="A59:B59"/>
    <mergeCell ref="A58:B58"/>
    <mergeCell ref="A55:B55"/>
    <mergeCell ref="A54:B54"/>
    <mergeCell ref="A44:B44"/>
    <mergeCell ref="A45:B45"/>
    <mergeCell ref="A46:B46"/>
    <mergeCell ref="A47:B47"/>
    <mergeCell ref="A48:B48"/>
    <mergeCell ref="A51:B51"/>
    <mergeCell ref="A50:B50"/>
    <mergeCell ref="A49:B49"/>
    <mergeCell ref="A40:I40"/>
    <mergeCell ref="A41:B41"/>
    <mergeCell ref="A42:B42"/>
    <mergeCell ref="A36:B36"/>
    <mergeCell ref="A37:B37"/>
    <mergeCell ref="A38:B38"/>
    <mergeCell ref="I5:I6"/>
    <mergeCell ref="I7:I11"/>
    <mergeCell ref="A5:H11"/>
    <mergeCell ref="A34:B34"/>
    <mergeCell ref="A35:B35"/>
    <mergeCell ref="A33:B33"/>
    <mergeCell ref="B13:I13"/>
    <mergeCell ref="G19:H19"/>
    <mergeCell ref="B21:D21"/>
    <mergeCell ref="A26:B26"/>
    <mergeCell ref="A27:B27"/>
    <mergeCell ref="A29:I29"/>
    <mergeCell ref="A30:B30"/>
    <mergeCell ref="A31:B31"/>
    <mergeCell ref="A32:B32"/>
    <mergeCell ref="C17:D17"/>
  </mergeCells>
  <conditionalFormatting sqref="B15">
    <cfRule type="cellIs" dxfId="41" priority="4" stopIfTrue="1" operator="greaterThan">
      <formula>2</formula>
    </cfRule>
    <cfRule type="cellIs" dxfId="40" priority="5" stopIfTrue="1" operator="lessThan">
      <formula>1</formula>
    </cfRule>
  </conditionalFormatting>
  <conditionalFormatting sqref="I19 B19">
    <cfRule type="cellIs" dxfId="39" priority="2" stopIfTrue="1" operator="greaterThan">
      <formula>120</formula>
    </cfRule>
    <cfRule type="cellIs" dxfId="38" priority="3" stopIfTrue="1" operator="lessThan">
      <formula>18</formula>
    </cfRule>
  </conditionalFormatting>
  <conditionalFormatting sqref="C17:D17">
    <cfRule type="containsText" dxfId="37" priority="1" operator="containsText" text="Cotización para dependiente de 24 años">
      <formula>NOT(ISERROR(SEARCH("Cotización para dependiente de 24 años",C17)))</formula>
    </cfRule>
  </conditionalFormatting>
  <printOptions horizontalCentered="1" verticalCentered="1"/>
  <pageMargins left="0.25" right="0.25" top="0.75" bottom="0.75" header="0.3" footer="0.3"/>
  <pageSetup paperSize="9" scale="42" orientation="portrait" horizontalDpi="300" verticalDpi="300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2">
    <pageSetUpPr fitToPage="1"/>
  </sheetPr>
  <dimension ref="A1:O71"/>
  <sheetViews>
    <sheetView showGridLines="0" zoomScaleNormal="100" zoomScaleSheetLayoutView="70" workbookViewId="0">
      <selection activeCell="I23" sqref="I23"/>
    </sheetView>
  </sheetViews>
  <sheetFormatPr baseColWidth="10" defaultColWidth="8.83203125" defaultRowHeight="18" x14ac:dyDescent="0.15"/>
  <cols>
    <col min="1" max="1" width="38.5" style="15" customWidth="1"/>
    <col min="2" max="8" width="20.83203125" style="15" customWidth="1"/>
    <col min="9" max="16384" width="8.83203125" style="15"/>
  </cols>
  <sheetData>
    <row r="1" spans="1:8" x14ac:dyDescent="0.15">
      <c r="A1" s="556" t="s">
        <v>0</v>
      </c>
      <c r="B1" s="556"/>
      <c r="C1" s="556"/>
      <c r="D1" s="556"/>
      <c r="E1" s="556"/>
      <c r="F1" s="556"/>
      <c r="G1" s="109"/>
      <c r="H1" s="109"/>
    </row>
    <row r="2" spans="1:8" x14ac:dyDescent="0.15">
      <c r="A2" s="556"/>
      <c r="B2" s="556"/>
      <c r="C2" s="556"/>
      <c r="D2" s="556"/>
      <c r="E2" s="556"/>
      <c r="F2" s="556"/>
      <c r="G2" s="109"/>
      <c r="H2" s="109"/>
    </row>
    <row r="3" spans="1:8" x14ac:dyDescent="0.15">
      <c r="A3" s="556"/>
      <c r="B3" s="556"/>
      <c r="C3" s="556"/>
      <c r="D3" s="556"/>
      <c r="E3" s="556"/>
      <c r="F3" s="556"/>
      <c r="G3" s="109"/>
      <c r="H3" s="109"/>
    </row>
    <row r="4" spans="1:8" x14ac:dyDescent="0.15">
      <c r="A4" s="556"/>
      <c r="B4" s="556"/>
      <c r="C4" s="556"/>
      <c r="D4" s="556"/>
      <c r="E4" s="556"/>
      <c r="F4" s="556"/>
      <c r="G4" s="109"/>
      <c r="H4" s="109"/>
    </row>
    <row r="5" spans="1:8" ht="18" customHeight="1" x14ac:dyDescent="0.15">
      <c r="A5" s="570" t="s">
        <v>115</v>
      </c>
      <c r="B5" s="570"/>
      <c r="C5" s="570"/>
      <c r="D5" s="570"/>
      <c r="E5" s="570"/>
      <c r="F5" s="570"/>
      <c r="G5" s="571"/>
      <c r="H5" s="568" t="s">
        <v>53</v>
      </c>
    </row>
    <row r="6" spans="1:8" x14ac:dyDescent="0.15">
      <c r="A6" s="570"/>
      <c r="B6" s="570"/>
      <c r="C6" s="570"/>
      <c r="D6" s="570"/>
      <c r="E6" s="570"/>
      <c r="F6" s="570"/>
      <c r="G6" s="571"/>
      <c r="H6" s="568"/>
    </row>
    <row r="7" spans="1:8" x14ac:dyDescent="0.15">
      <c r="A7" s="570"/>
      <c r="B7" s="570"/>
      <c r="C7" s="570"/>
      <c r="D7" s="570"/>
      <c r="E7" s="570"/>
      <c r="F7" s="570"/>
      <c r="G7" s="571"/>
      <c r="H7" s="569" t="str">
        <f>'INGRESO DE DATOS'!W20</f>
        <v>Resto de Ecuador</v>
      </c>
    </row>
    <row r="8" spans="1:8" x14ac:dyDescent="0.15">
      <c r="A8" s="570"/>
      <c r="B8" s="570"/>
      <c r="C8" s="570"/>
      <c r="D8" s="570"/>
      <c r="E8" s="570"/>
      <c r="F8" s="570"/>
      <c r="G8" s="571"/>
      <c r="H8" s="569"/>
    </row>
    <row r="9" spans="1:8" x14ac:dyDescent="0.15">
      <c r="A9" s="570"/>
      <c r="B9" s="570"/>
      <c r="C9" s="570"/>
      <c r="D9" s="570"/>
      <c r="E9" s="570"/>
      <c r="F9" s="570"/>
      <c r="G9" s="571"/>
      <c r="H9" s="569"/>
    </row>
    <row r="10" spans="1:8" x14ac:dyDescent="0.15">
      <c r="A10" s="570"/>
      <c r="B10" s="570"/>
      <c r="C10" s="570"/>
      <c r="D10" s="570"/>
      <c r="E10" s="570"/>
      <c r="F10" s="570"/>
      <c r="G10" s="571"/>
      <c r="H10" s="569"/>
    </row>
    <row r="11" spans="1:8" ht="41" customHeight="1" x14ac:dyDescent="0.15">
      <c r="A11" s="570"/>
      <c r="B11" s="570"/>
      <c r="C11" s="570"/>
      <c r="D11" s="570"/>
      <c r="E11" s="570"/>
      <c r="F11" s="570"/>
      <c r="G11" s="571"/>
      <c r="H11" s="569"/>
    </row>
    <row r="12" spans="1:8" ht="6" customHeight="1" x14ac:dyDescent="0.15">
      <c r="A12" s="149"/>
      <c r="B12" s="149"/>
      <c r="C12" s="149"/>
      <c r="D12" s="149"/>
      <c r="E12" s="149"/>
      <c r="F12" s="149"/>
      <c r="G12" s="109"/>
      <c r="H12" s="109"/>
    </row>
    <row r="13" spans="1:8" x14ac:dyDescent="0.15">
      <c r="A13" s="58" t="s">
        <v>90</v>
      </c>
      <c r="B13" s="562" t="str">
        <f>+'INGRESO DE DATOS'!$C$37</f>
        <v>John Doe</v>
      </c>
      <c r="C13" s="563"/>
      <c r="D13" s="563"/>
      <c r="E13" s="563"/>
      <c r="F13" s="563"/>
      <c r="G13" s="563"/>
      <c r="H13" s="564"/>
    </row>
    <row r="14" spans="1:8" x14ac:dyDescent="0.15">
      <c r="A14" s="58"/>
      <c r="B14" s="109"/>
      <c r="C14" s="109"/>
      <c r="D14" s="109"/>
      <c r="E14" s="109"/>
      <c r="F14" s="109"/>
      <c r="G14" s="109"/>
      <c r="H14" s="109"/>
    </row>
    <row r="15" spans="1:8" x14ac:dyDescent="0.15">
      <c r="A15" s="58" t="s">
        <v>91</v>
      </c>
      <c r="B15" s="151">
        <f>+'INGRESO DE DATOS'!$C$39</f>
        <v>2</v>
      </c>
      <c r="C15" s="85"/>
      <c r="D15" s="109"/>
      <c r="E15" s="109"/>
      <c r="F15" s="109"/>
      <c r="G15" s="109"/>
      <c r="H15" s="109"/>
    </row>
    <row r="16" spans="1:8" x14ac:dyDescent="0.15">
      <c r="A16" s="58"/>
      <c r="B16" s="85"/>
      <c r="C16" s="85"/>
      <c r="D16" s="109"/>
      <c r="E16" s="109"/>
      <c r="F16" s="109"/>
      <c r="G16" s="109"/>
      <c r="H16" s="109"/>
    </row>
    <row r="17" spans="1:15" x14ac:dyDescent="0.15">
      <c r="A17" s="58" t="s">
        <v>92</v>
      </c>
      <c r="B17" s="151">
        <f>+'INGRESO DE DATOS'!$C$41</f>
        <v>1</v>
      </c>
      <c r="C17" s="488" t="str">
        <f>IF('INGRESO DE DATOS'!$P$2=TRUE, "Cotización para dependiente de 24 años","")</f>
        <v/>
      </c>
      <c r="D17" s="489"/>
      <c r="E17" s="61"/>
      <c r="F17" s="61"/>
      <c r="G17" s="109"/>
      <c r="H17" s="109"/>
    </row>
    <row r="18" spans="1:15" x14ac:dyDescent="0.15">
      <c r="A18" s="58"/>
      <c r="B18" s="61"/>
      <c r="C18" s="61"/>
      <c r="D18" s="61"/>
      <c r="E18" s="61"/>
      <c r="F18" s="61"/>
      <c r="G18" s="109"/>
      <c r="H18" s="109"/>
      <c r="K18" s="147"/>
      <c r="L18" s="147"/>
      <c r="M18" s="147"/>
      <c r="N18" s="147"/>
      <c r="O18" s="147"/>
    </row>
    <row r="19" spans="1:15" x14ac:dyDescent="0.15">
      <c r="A19" s="58" t="s">
        <v>93</v>
      </c>
      <c r="B19" s="151">
        <f>+'INGRESO DE DATOS'!$C$43</f>
        <v>34</v>
      </c>
      <c r="C19" s="85"/>
      <c r="D19" s="85"/>
      <c r="E19" s="85"/>
      <c r="F19" s="85" t="s">
        <v>94</v>
      </c>
      <c r="G19" s="109"/>
      <c r="H19" s="151">
        <f>+'INGRESO DE DATOS'!$C$45</f>
        <v>32</v>
      </c>
      <c r="K19" s="134"/>
      <c r="L19" s="134"/>
      <c r="M19" s="134"/>
      <c r="N19" s="134"/>
      <c r="O19" s="134"/>
    </row>
    <row r="20" spans="1:15" x14ac:dyDescent="0.15">
      <c r="A20" s="58"/>
      <c r="B20" s="85"/>
      <c r="C20" s="85"/>
      <c r="D20" s="85"/>
      <c r="E20" s="85"/>
      <c r="F20" s="85"/>
      <c r="G20" s="109"/>
      <c r="H20" s="109"/>
      <c r="K20" s="134"/>
      <c r="L20" s="134"/>
      <c r="M20" s="134"/>
      <c r="N20" s="134"/>
      <c r="O20" s="134"/>
    </row>
    <row r="21" spans="1:15" x14ac:dyDescent="0.15">
      <c r="A21" s="58" t="s">
        <v>95</v>
      </c>
      <c r="B21" s="557">
        <f ca="1">NOW()</f>
        <v>46241.393698032407</v>
      </c>
      <c r="C21" s="558"/>
      <c r="D21" s="85"/>
      <c r="E21" s="85"/>
      <c r="F21" s="85"/>
      <c r="G21" s="109"/>
      <c r="H21" s="109"/>
      <c r="M21" s="95"/>
      <c r="N21" s="95"/>
    </row>
    <row r="22" spans="1:15" x14ac:dyDescent="0.15">
      <c r="A22" s="95"/>
      <c r="K22" s="134"/>
      <c r="L22" s="134"/>
      <c r="M22" s="134"/>
      <c r="N22" s="134"/>
      <c r="O22" s="134"/>
    </row>
    <row r="23" spans="1:15" s="150" customFormat="1" x14ac:dyDescent="0.15">
      <c r="A23" s="453" t="s">
        <v>26</v>
      </c>
      <c r="B23" s="454"/>
      <c r="C23" s="454"/>
      <c r="D23" s="454"/>
      <c r="E23" s="454"/>
      <c r="F23" s="454"/>
      <c r="G23" s="454"/>
      <c r="H23" s="455"/>
    </row>
    <row r="24" spans="1:15" s="150" customFormat="1" x14ac:dyDescent="0.15">
      <c r="A24" s="235" t="s">
        <v>61</v>
      </c>
      <c r="B24" s="238" t="s">
        <v>62</v>
      </c>
      <c r="C24" s="238" t="s">
        <v>63</v>
      </c>
      <c r="D24" s="238" t="s">
        <v>64</v>
      </c>
      <c r="E24" s="238" t="s">
        <v>65</v>
      </c>
      <c r="F24" s="238" t="s">
        <v>66</v>
      </c>
      <c r="G24" s="238" t="s">
        <v>67</v>
      </c>
      <c r="H24" s="239" t="s">
        <v>97</v>
      </c>
    </row>
    <row r="25" spans="1:15" s="150" customFormat="1" x14ac:dyDescent="0.15">
      <c r="A25" s="236" t="s">
        <v>98</v>
      </c>
      <c r="B25" s="237">
        <v>250</v>
      </c>
      <c r="C25" s="237">
        <v>500</v>
      </c>
      <c r="D25" s="237">
        <v>1000</v>
      </c>
      <c r="E25" s="237">
        <v>2000</v>
      </c>
      <c r="F25" s="237">
        <v>5000</v>
      </c>
      <c r="G25" s="237">
        <v>10000</v>
      </c>
      <c r="H25" s="237">
        <v>20000</v>
      </c>
    </row>
    <row r="26" spans="1:15" s="150" customFormat="1" x14ac:dyDescent="0.15">
      <c r="A26" s="148" t="s">
        <v>99</v>
      </c>
      <c r="B26" s="234">
        <v>500</v>
      </c>
      <c r="C26" s="234">
        <v>1000</v>
      </c>
      <c r="D26" s="234">
        <v>2000</v>
      </c>
      <c r="E26" s="234">
        <v>4000</v>
      </c>
      <c r="F26" s="234">
        <v>5000</v>
      </c>
      <c r="G26" s="234">
        <v>10000</v>
      </c>
      <c r="H26" s="234">
        <v>20000</v>
      </c>
    </row>
    <row r="27" spans="1:15" s="150" customFormat="1" x14ac:dyDescent="0.15">
      <c r="A27" s="559"/>
      <c r="B27" s="565" t="s">
        <v>70</v>
      </c>
      <c r="C27" s="566"/>
      <c r="D27" s="566"/>
      <c r="E27" s="566"/>
      <c r="F27" s="566"/>
      <c r="G27" s="566"/>
      <c r="H27" s="567"/>
    </row>
    <row r="28" spans="1:15" x14ac:dyDescent="0.15">
      <c r="A28" s="560"/>
      <c r="B28" s="230">
        <f>'Essential 1000'!C38</f>
        <v>9658.7296000000006</v>
      </c>
      <c r="C28" s="230">
        <f>'Essential 1000'!D38</f>
        <v>8543.5479999999989</v>
      </c>
      <c r="D28" s="230">
        <f>'Essential 1000'!E38</f>
        <v>7006.6671999999999</v>
      </c>
      <c r="E28" s="230">
        <f>'Essential 1000'!F38</f>
        <v>5300.5263999999997</v>
      </c>
      <c r="F28" s="230">
        <f>'Essential 1000'!G38</f>
        <v>3251.9967999999994</v>
      </c>
      <c r="G28" s="230">
        <f>'Essential 1000'!H38</f>
        <v>2259.92</v>
      </c>
      <c r="H28" s="230">
        <f>'Essential 1000'!I38</f>
        <v>1482</v>
      </c>
    </row>
    <row r="29" spans="1:15" x14ac:dyDescent="0.15">
      <c r="A29" s="560"/>
      <c r="B29" s="565" t="s">
        <v>80</v>
      </c>
      <c r="C29" s="566"/>
      <c r="D29" s="566"/>
      <c r="E29" s="566"/>
      <c r="F29" s="566"/>
      <c r="G29" s="566"/>
      <c r="H29" s="567"/>
    </row>
    <row r="30" spans="1:15" x14ac:dyDescent="0.15">
      <c r="A30" s="560"/>
      <c r="B30" s="232">
        <f>+'Essential 1000'!C51</f>
        <v>9945.059487999999</v>
      </c>
      <c r="C30" s="232">
        <f>+'Essential 1000'!D51</f>
        <v>8796.4224400000003</v>
      </c>
      <c r="D30" s="232">
        <f>+'Essential 1000'!E51</f>
        <v>7213.4352159999999</v>
      </c>
      <c r="E30" s="232">
        <f>+'Essential 1000'!F51</f>
        <v>5456.1101920000001</v>
      </c>
      <c r="F30" s="232">
        <f>+'Essential 1000'!G51</f>
        <v>3346.1247039999998</v>
      </c>
      <c r="G30" s="232">
        <f>+'Essential 1000'!H51</f>
        <v>2324.2856000000002</v>
      </c>
      <c r="H30" s="232">
        <f>+'Essential 1000'!I51</f>
        <v>1523.0279999999998</v>
      </c>
    </row>
    <row r="31" spans="1:15" x14ac:dyDescent="0.15">
      <c r="A31" s="560"/>
      <c r="B31" s="565" t="s">
        <v>84</v>
      </c>
      <c r="C31" s="566"/>
      <c r="D31" s="566"/>
      <c r="E31" s="566"/>
      <c r="F31" s="566"/>
      <c r="G31" s="566"/>
      <c r="H31" s="567"/>
    </row>
    <row r="32" spans="1:15" x14ac:dyDescent="0.15">
      <c r="A32" s="560"/>
      <c r="B32" s="232">
        <f>+'Essential 1000'!C64</f>
        <v>10088.224431999999</v>
      </c>
      <c r="C32" s="232">
        <f>+'Essential 1000'!D64</f>
        <v>8922.8596600000001</v>
      </c>
      <c r="D32" s="232">
        <f>+'Essential 1000'!E64</f>
        <v>7316.8192239999989</v>
      </c>
      <c r="E32" s="232">
        <f>+'Essential 1000'!F64</f>
        <v>5533.9020879999989</v>
      </c>
      <c r="F32" s="232">
        <f>+'Essential 1000'!G64</f>
        <v>3393.1886559999998</v>
      </c>
      <c r="G32" s="232">
        <f>+'Essential 1000'!H64</f>
        <v>2356.4683999999997</v>
      </c>
      <c r="H32" s="232">
        <f>+'Essential 1000'!I64</f>
        <v>1543.5419999999999</v>
      </c>
    </row>
    <row r="33" spans="1:8" x14ac:dyDescent="0.15">
      <c r="A33" s="560"/>
      <c r="B33" s="565" t="s">
        <v>86</v>
      </c>
      <c r="C33" s="566"/>
      <c r="D33" s="566"/>
      <c r="E33" s="566"/>
      <c r="F33" s="566"/>
      <c r="G33" s="566"/>
      <c r="H33" s="567"/>
    </row>
    <row r="34" spans="1:8" s="150" customFormat="1" x14ac:dyDescent="0.15">
      <c r="A34" s="561"/>
      <c r="B34" s="231">
        <f>+'Essential 1000'!C77</f>
        <v>10231.389376000001</v>
      </c>
      <c r="C34" s="231">
        <f>+'Essential 1000'!D77</f>
        <v>9049.2968799999981</v>
      </c>
      <c r="D34" s="231">
        <f>+'Essential 1000'!E77</f>
        <v>7420.2032319999998</v>
      </c>
      <c r="E34" s="231">
        <f>+'Essential 1000'!F77</f>
        <v>5611.6939839999995</v>
      </c>
      <c r="F34" s="231">
        <f>+'Essential 1000'!G77</f>
        <v>3440.2526079999998</v>
      </c>
      <c r="G34" s="231">
        <f>+'Essential 1000'!H77</f>
        <v>2388.6512000000007</v>
      </c>
      <c r="H34" s="231">
        <f>+'Essential 1000'!I77</f>
        <v>1564.0559999999998</v>
      </c>
    </row>
    <row r="35" spans="1:8" s="150" customFormat="1" x14ac:dyDescent="0.15">
      <c r="A35" s="147"/>
      <c r="B35" s="98"/>
      <c r="C35" s="98"/>
      <c r="D35" s="98"/>
    </row>
    <row r="36" spans="1:8" s="150" customFormat="1" x14ac:dyDescent="0.15">
      <c r="A36" s="453" t="s">
        <v>27</v>
      </c>
      <c r="B36" s="454"/>
      <c r="C36" s="454"/>
      <c r="D36" s="454"/>
      <c r="E36" s="454"/>
      <c r="F36" s="454"/>
      <c r="G36" s="454"/>
      <c r="H36" s="455"/>
    </row>
    <row r="37" spans="1:8" s="150" customFormat="1" x14ac:dyDescent="0.15">
      <c r="A37" s="235" t="s">
        <v>61</v>
      </c>
      <c r="B37" s="241" t="s">
        <v>62</v>
      </c>
      <c r="C37" s="241" t="s">
        <v>63</v>
      </c>
      <c r="D37" s="241" t="s">
        <v>64</v>
      </c>
      <c r="E37" s="241" t="s">
        <v>65</v>
      </c>
      <c r="F37" s="241" t="s">
        <v>66</v>
      </c>
      <c r="G37" s="241" t="s">
        <v>67</v>
      </c>
      <c r="H37" s="242" t="s">
        <v>97</v>
      </c>
    </row>
    <row r="38" spans="1:8" s="150" customFormat="1" x14ac:dyDescent="0.15">
      <c r="A38" s="236" t="s">
        <v>98</v>
      </c>
      <c r="B38" s="240">
        <v>250</v>
      </c>
      <c r="C38" s="240">
        <v>500</v>
      </c>
      <c r="D38" s="240">
        <v>1000</v>
      </c>
      <c r="E38" s="240">
        <v>2000</v>
      </c>
      <c r="F38" s="240">
        <v>5000</v>
      </c>
      <c r="G38" s="240">
        <v>10000</v>
      </c>
      <c r="H38" s="240">
        <v>20000</v>
      </c>
    </row>
    <row r="39" spans="1:8" s="150" customFormat="1" x14ac:dyDescent="0.15">
      <c r="A39" s="148" t="s">
        <v>99</v>
      </c>
      <c r="B39" s="233">
        <v>500</v>
      </c>
      <c r="C39" s="233">
        <v>1000</v>
      </c>
      <c r="D39" s="233">
        <v>2000</v>
      </c>
      <c r="E39" s="233">
        <v>4000</v>
      </c>
      <c r="F39" s="233">
        <v>5000</v>
      </c>
      <c r="G39" s="233">
        <v>10000</v>
      </c>
      <c r="H39" s="233">
        <v>20000</v>
      </c>
    </row>
    <row r="40" spans="1:8" s="150" customFormat="1" x14ac:dyDescent="0.15">
      <c r="A40" s="559"/>
      <c r="B40" s="565" t="s">
        <v>70</v>
      </c>
      <c r="C40" s="566"/>
      <c r="D40" s="566"/>
      <c r="E40" s="566"/>
      <c r="F40" s="566"/>
      <c r="G40" s="566"/>
      <c r="H40" s="567"/>
    </row>
    <row r="41" spans="1:8" s="150" customFormat="1" x14ac:dyDescent="0.15">
      <c r="A41" s="560"/>
      <c r="B41" s="232">
        <f>+'Essential 500'!C38</f>
        <v>8911.76</v>
      </c>
      <c r="C41" s="232">
        <f>+'Essential 500'!D38</f>
        <v>7364.24</v>
      </c>
      <c r="D41" s="232">
        <f>+'Essential 500'!E38</f>
        <v>5633.68</v>
      </c>
      <c r="E41" s="232">
        <f>+'Essential 500'!F38</f>
        <v>4272.32</v>
      </c>
      <c r="F41" s="232">
        <f>+'Essential 500'!G38</f>
        <v>2552.16</v>
      </c>
      <c r="G41" s="232">
        <f>+'Essential 500'!H38</f>
        <v>1612</v>
      </c>
      <c r="H41" s="232">
        <f>+'Essential 500'!I38</f>
        <v>1183.52</v>
      </c>
    </row>
    <row r="42" spans="1:8" s="150" customFormat="1" x14ac:dyDescent="0.15">
      <c r="A42" s="560"/>
      <c r="B42" s="565" t="s">
        <v>80</v>
      </c>
      <c r="C42" s="566"/>
      <c r="D42" s="566"/>
      <c r="E42" s="566"/>
      <c r="F42" s="566"/>
      <c r="G42" s="566"/>
      <c r="H42" s="567"/>
    </row>
    <row r="43" spans="1:8" s="150" customFormat="1" x14ac:dyDescent="0.15">
      <c r="A43" s="560"/>
      <c r="B43" s="232">
        <f>+'Essential 500'!C51</f>
        <v>9175.6808000000001</v>
      </c>
      <c r="C43" s="232">
        <f>+'Essential 500'!D51</f>
        <v>7581.7352000000001</v>
      </c>
      <c r="D43" s="232">
        <f>+'Essential 500'!E51</f>
        <v>5799.2583999999997</v>
      </c>
      <c r="E43" s="232">
        <f>+'Essential 500'!F51</f>
        <v>4397.0576000000001</v>
      </c>
      <c r="F43" s="232">
        <f>+'Essential 500'!G51</f>
        <v>2625.2928000000002</v>
      </c>
      <c r="G43" s="232">
        <f>+'Essential 500'!H51</f>
        <v>1656.9279999999999</v>
      </c>
      <c r="H43" s="232">
        <f>+'Essential 500'!I51</f>
        <v>1215.5935999999999</v>
      </c>
    </row>
    <row r="44" spans="1:8" s="150" customFormat="1" x14ac:dyDescent="0.15">
      <c r="A44" s="560"/>
      <c r="B44" s="565" t="s">
        <v>84</v>
      </c>
      <c r="C44" s="566"/>
      <c r="D44" s="566"/>
      <c r="E44" s="566"/>
      <c r="F44" s="566"/>
      <c r="G44" s="566"/>
      <c r="H44" s="567"/>
    </row>
    <row r="45" spans="1:8" s="150" customFormat="1" x14ac:dyDescent="0.15">
      <c r="A45" s="560"/>
      <c r="B45" s="232">
        <f>+'Essential 500'!C64</f>
        <v>9307.6411999999982</v>
      </c>
      <c r="C45" s="232">
        <f>+'Essential 500'!D64</f>
        <v>7690.4827999999989</v>
      </c>
      <c r="D45" s="232">
        <f>+'Essential 500'!E64</f>
        <v>5882.0475999999999</v>
      </c>
      <c r="E45" s="232">
        <f>+'Essential 500'!F64</f>
        <v>4459.4264000000003</v>
      </c>
      <c r="F45" s="232">
        <f>+'Essential 500'!G64</f>
        <v>2661.8591999999999</v>
      </c>
      <c r="G45" s="232">
        <f>+'Essential 500'!H64</f>
        <v>1679.3920000000001</v>
      </c>
      <c r="H45" s="232">
        <f>+'Essential 500'!I64</f>
        <v>1231.6304</v>
      </c>
    </row>
    <row r="46" spans="1:8" s="150" customFormat="1" x14ac:dyDescent="0.15">
      <c r="A46" s="560"/>
      <c r="B46" s="565" t="s">
        <v>86</v>
      </c>
      <c r="C46" s="566"/>
      <c r="D46" s="566"/>
      <c r="E46" s="566"/>
      <c r="F46" s="566"/>
      <c r="G46" s="566"/>
      <c r="H46" s="567"/>
    </row>
    <row r="47" spans="1:8" s="150" customFormat="1" x14ac:dyDescent="0.15">
      <c r="A47" s="561"/>
      <c r="B47" s="231">
        <f>+'Essential 500'!C77</f>
        <v>9439.6016000000018</v>
      </c>
      <c r="C47" s="231">
        <f>+'Essential 500'!D77</f>
        <v>7799.2304000000004</v>
      </c>
      <c r="D47" s="231">
        <f>+'Essential 500'!E77</f>
        <v>5964.8368</v>
      </c>
      <c r="E47" s="231">
        <f>+'Essential 500'!F77</f>
        <v>4521.7952000000005</v>
      </c>
      <c r="F47" s="231">
        <f>+'Essential 500'!G77</f>
        <v>2698.4255999999991</v>
      </c>
      <c r="G47" s="231">
        <f>+'Essential 500'!H77</f>
        <v>1701.8560000000004</v>
      </c>
      <c r="H47" s="231">
        <f>+'Essential 500'!I77</f>
        <v>1247.6672000000001</v>
      </c>
    </row>
    <row r="48" spans="1:8" s="150" customFormat="1" x14ac:dyDescent="0.15">
      <c r="A48" s="147"/>
      <c r="B48" s="98"/>
    </row>
    <row r="49" spans="1:8" s="150" customFormat="1" x14ac:dyDescent="0.15">
      <c r="A49" s="147"/>
      <c r="B49" s="98"/>
    </row>
    <row r="50" spans="1:8" s="150" customFormat="1" x14ac:dyDescent="0.15">
      <c r="A50" s="453" t="s">
        <v>116</v>
      </c>
      <c r="B50" s="454"/>
      <c r="C50" s="454"/>
      <c r="D50" s="454"/>
      <c r="E50" s="454"/>
      <c r="F50" s="454"/>
      <c r="G50" s="454"/>
      <c r="H50" s="363"/>
    </row>
    <row r="51" spans="1:8" s="150" customFormat="1" x14ac:dyDescent="0.15">
      <c r="A51" s="235" t="s">
        <v>61</v>
      </c>
      <c r="B51" s="241" t="s">
        <v>62</v>
      </c>
      <c r="C51" s="241" t="s">
        <v>63</v>
      </c>
      <c r="D51" s="241" t="s">
        <v>64</v>
      </c>
      <c r="E51" s="241" t="s">
        <v>65</v>
      </c>
      <c r="F51" s="241" t="s">
        <v>66</v>
      </c>
      <c r="G51" s="241" t="s">
        <v>67</v>
      </c>
      <c r="H51" s="360"/>
    </row>
    <row r="52" spans="1:8" s="150" customFormat="1" x14ac:dyDescent="0.15">
      <c r="A52" s="364" t="s">
        <v>98</v>
      </c>
      <c r="B52" s="367" t="s">
        <v>117</v>
      </c>
      <c r="C52" s="366">
        <v>1000</v>
      </c>
      <c r="D52" s="366">
        <v>2000</v>
      </c>
      <c r="E52" s="366">
        <v>5000</v>
      </c>
      <c r="F52" s="366">
        <v>10000</v>
      </c>
      <c r="G52" s="366">
        <v>20000</v>
      </c>
      <c r="H52" s="361"/>
    </row>
    <row r="53" spans="1:8" s="150" customFormat="1" x14ac:dyDescent="0.15">
      <c r="A53" s="365" t="s">
        <v>99</v>
      </c>
      <c r="B53" s="366">
        <v>1000</v>
      </c>
      <c r="C53" s="366">
        <v>2000</v>
      </c>
      <c r="D53" s="366">
        <v>3000</v>
      </c>
      <c r="E53" s="366">
        <v>5000</v>
      </c>
      <c r="F53" s="366">
        <v>10000</v>
      </c>
      <c r="G53" s="366">
        <v>20000</v>
      </c>
      <c r="H53" s="361"/>
    </row>
    <row r="54" spans="1:8" s="150" customFormat="1" x14ac:dyDescent="0.15">
      <c r="A54" s="581"/>
      <c r="B54" s="565" t="s">
        <v>70</v>
      </c>
      <c r="C54" s="566"/>
      <c r="D54" s="566"/>
      <c r="E54" s="566"/>
      <c r="F54" s="566"/>
      <c r="G54" s="567"/>
      <c r="H54" s="362"/>
    </row>
    <row r="55" spans="1:8" s="150" customFormat="1" x14ac:dyDescent="0.15">
      <c r="A55" s="582"/>
      <c r="B55" s="292">
        <f>'Essential Care (Renovación)'!B39</f>
        <v>18106.399999999998</v>
      </c>
      <c r="C55" s="292">
        <f>'Essential Care (Renovación)'!C39</f>
        <v>17620.72</v>
      </c>
      <c r="D55" s="292">
        <f>'Essential Care (Renovación)'!D39</f>
        <v>14859.52</v>
      </c>
      <c r="E55" s="292">
        <f>'Essential Care (Renovación)'!E39</f>
        <v>11736.4</v>
      </c>
      <c r="F55" s="292">
        <f>'Essential Care (Renovación)'!F39</f>
        <v>8466.64</v>
      </c>
      <c r="G55" s="292">
        <f>'Essential Care (Renovación)'!G39</f>
        <v>6594.64</v>
      </c>
      <c r="H55" s="98"/>
    </row>
    <row r="56" spans="1:8" s="150" customFormat="1" x14ac:dyDescent="0.15">
      <c r="A56" s="582"/>
      <c r="B56" s="565" t="s">
        <v>80</v>
      </c>
      <c r="C56" s="566"/>
      <c r="D56" s="566"/>
      <c r="E56" s="566"/>
      <c r="F56" s="566"/>
      <c r="G56" s="567"/>
      <c r="H56" s="362"/>
    </row>
    <row r="57" spans="1:8" s="150" customFormat="1" x14ac:dyDescent="0.15">
      <c r="A57" s="583"/>
      <c r="B57" s="292">
        <f>'Essential Care (Renovación)'!B53</f>
        <v>19188.103999999999</v>
      </c>
      <c r="C57" s="292">
        <f>'Essential Care (Renovación)'!C53</f>
        <v>18673.283200000002</v>
      </c>
      <c r="D57" s="292">
        <f>'Essential Care (Renovación)'!D53</f>
        <v>15746.4112</v>
      </c>
      <c r="E57" s="292">
        <f>'Essential Care (Renovación)'!E53</f>
        <v>12435.904000000002</v>
      </c>
      <c r="F57" s="292">
        <f>'Essential Care (Renovación)'!F53</f>
        <v>8969.9584000000013</v>
      </c>
      <c r="G57" s="292">
        <f>'Essential Care (Renovación)'!G53</f>
        <v>6985.6383999999998</v>
      </c>
      <c r="H57" s="98"/>
    </row>
    <row r="58" spans="1:8" s="150" customFormat="1" x14ac:dyDescent="0.15">
      <c r="A58" s="147"/>
      <c r="B58" s="98"/>
    </row>
    <row r="59" spans="1:8" s="150" customFormat="1" x14ac:dyDescent="0.15">
      <c r="A59" s="147"/>
      <c r="B59" s="98"/>
    </row>
    <row r="60" spans="1:8" s="150" customFormat="1" x14ac:dyDescent="0.15">
      <c r="A60" s="147"/>
      <c r="B60" s="98"/>
      <c r="C60" s="98"/>
      <c r="D60" s="98"/>
      <c r="E60" s="98"/>
    </row>
    <row r="61" spans="1:8" s="150" customFormat="1" ht="18" customHeight="1" x14ac:dyDescent="0.15">
      <c r="A61" s="572" t="s">
        <v>118</v>
      </c>
      <c r="B61" s="573"/>
      <c r="C61" s="573"/>
      <c r="D61" s="573"/>
      <c r="E61" s="573"/>
      <c r="F61" s="573"/>
      <c r="G61" s="573"/>
      <c r="H61" s="574"/>
    </row>
    <row r="62" spans="1:8" s="150" customFormat="1" x14ac:dyDescent="0.15">
      <c r="A62" s="575"/>
      <c r="B62" s="576"/>
      <c r="C62" s="576"/>
      <c r="D62" s="576"/>
      <c r="E62" s="576"/>
      <c r="F62" s="576"/>
      <c r="G62" s="576"/>
      <c r="H62" s="577"/>
    </row>
    <row r="63" spans="1:8" x14ac:dyDescent="0.15">
      <c r="A63" s="575"/>
      <c r="B63" s="576"/>
      <c r="C63" s="576"/>
      <c r="D63" s="576"/>
      <c r="E63" s="576"/>
      <c r="F63" s="576"/>
      <c r="G63" s="576"/>
      <c r="H63" s="577"/>
    </row>
    <row r="64" spans="1:8" x14ac:dyDescent="0.15">
      <c r="A64" s="575"/>
      <c r="B64" s="576"/>
      <c r="C64" s="576"/>
      <c r="D64" s="576"/>
      <c r="E64" s="576"/>
      <c r="F64" s="576"/>
      <c r="G64" s="576"/>
      <c r="H64" s="577"/>
    </row>
    <row r="65" spans="1:10" x14ac:dyDescent="0.15">
      <c r="A65" s="575"/>
      <c r="B65" s="576"/>
      <c r="C65" s="576"/>
      <c r="D65" s="576"/>
      <c r="E65" s="576"/>
      <c r="F65" s="576"/>
      <c r="G65" s="576"/>
      <c r="H65" s="577"/>
    </row>
    <row r="66" spans="1:10" x14ac:dyDescent="0.15">
      <c r="A66" s="575"/>
      <c r="B66" s="576"/>
      <c r="C66" s="576"/>
      <c r="D66" s="576"/>
      <c r="E66" s="576"/>
      <c r="F66" s="576"/>
      <c r="G66" s="576"/>
      <c r="H66" s="577"/>
    </row>
    <row r="67" spans="1:10" x14ac:dyDescent="0.15">
      <c r="A67" s="575"/>
      <c r="B67" s="576"/>
      <c r="C67" s="576"/>
      <c r="D67" s="576"/>
      <c r="E67" s="576"/>
      <c r="F67" s="576"/>
      <c r="G67" s="576"/>
      <c r="H67" s="577"/>
    </row>
    <row r="68" spans="1:10" x14ac:dyDescent="0.15">
      <c r="A68" s="578"/>
      <c r="B68" s="579"/>
      <c r="C68" s="579"/>
      <c r="D68" s="579"/>
      <c r="E68" s="579"/>
      <c r="F68" s="579"/>
      <c r="G68" s="579"/>
      <c r="H68" s="580"/>
    </row>
    <row r="70" spans="1:10" x14ac:dyDescent="0.15">
      <c r="J70" s="99"/>
    </row>
    <row r="71" spans="1:10" x14ac:dyDescent="0.15">
      <c r="J71" s="99"/>
    </row>
  </sheetData>
  <sheetProtection algorithmName="SHA-512" hashValue="8gPP3DmuLWY+Ig7k6YCJKcL0LzePQR7G2yNjajzqK5ZGw39Ut+7RWpY7+HtemUUYtOkRdytYcTeifijCCNyX9Q==" saltValue="RCWXlpT9FLf5HwnduvO9LA==" spinCount="100000" sheet="1" selectLockedCells="1"/>
  <mergeCells count="24">
    <mergeCell ref="A61:H68"/>
    <mergeCell ref="A23:H23"/>
    <mergeCell ref="B27:H27"/>
    <mergeCell ref="B29:H29"/>
    <mergeCell ref="B31:H31"/>
    <mergeCell ref="B33:H33"/>
    <mergeCell ref="B44:H44"/>
    <mergeCell ref="B46:H46"/>
    <mergeCell ref="A54:A57"/>
    <mergeCell ref="B54:G54"/>
    <mergeCell ref="B56:G56"/>
    <mergeCell ref="A50:G50"/>
    <mergeCell ref="A1:F4"/>
    <mergeCell ref="B21:C21"/>
    <mergeCell ref="A27:A34"/>
    <mergeCell ref="A40:A47"/>
    <mergeCell ref="B13:H13"/>
    <mergeCell ref="A36:H36"/>
    <mergeCell ref="B40:H40"/>
    <mergeCell ref="B42:H42"/>
    <mergeCell ref="H5:H6"/>
    <mergeCell ref="H7:H11"/>
    <mergeCell ref="A5:G11"/>
    <mergeCell ref="C17:D17"/>
  </mergeCells>
  <phoneticPr fontId="9" type="noConversion"/>
  <conditionalFormatting sqref="B15">
    <cfRule type="cellIs" dxfId="36" priority="2" stopIfTrue="1" operator="greaterThan">
      <formula>2</formula>
    </cfRule>
    <cfRule type="cellIs" dxfId="35" priority="3" stopIfTrue="1" operator="lessThan">
      <formula>1</formula>
    </cfRule>
  </conditionalFormatting>
  <conditionalFormatting sqref="B19 H19">
    <cfRule type="cellIs" dxfId="34" priority="4" operator="greaterThan">
      <formula>120</formula>
    </cfRule>
    <cfRule type="cellIs" dxfId="33" priority="5" stopIfTrue="1" operator="lessThan">
      <formula>18</formula>
    </cfRule>
  </conditionalFormatting>
  <conditionalFormatting sqref="C17:D17">
    <cfRule type="containsText" dxfId="32" priority="1" operator="containsText" text="Cotización para dependiente de 24 años">
      <formula>NOT(ISERROR(SEARCH("Cotización para dependiente de 24 años",C17)))</formula>
    </cfRule>
  </conditionalFormatting>
  <printOptions horizontalCentered="1" verticalCentered="1"/>
  <pageMargins left="0.25" right="0.25" top="0.25" bottom="0.25" header="0.511811023622047" footer="0.511811023622047"/>
  <pageSetup paperSize="9" scale="50" orientation="portrait" horizontalDpi="300" verticalDpi="300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A2:AF189"/>
  <sheetViews>
    <sheetView showGridLines="0" topLeftCell="XFD1" zoomScaleNormal="100" workbookViewId="0">
      <selection sqref="A1:XFD1048576"/>
    </sheetView>
  </sheetViews>
  <sheetFormatPr baseColWidth="10" defaultColWidth="0" defaultRowHeight="13" x14ac:dyDescent="0.15"/>
  <cols>
    <col min="1" max="1" width="9.6640625" style="155" hidden="1" customWidth="1"/>
    <col min="2" max="2" width="11" style="47" hidden="1" customWidth="1"/>
    <col min="3" max="9" width="11.5" style="55" hidden="1" customWidth="1"/>
    <col min="10" max="10" width="15.6640625" style="39" hidden="1" customWidth="1"/>
    <col min="11" max="11" width="15.83203125" style="39" hidden="1" customWidth="1"/>
    <col min="12" max="12" width="21.6640625" style="39" hidden="1" customWidth="1"/>
    <col min="13" max="18" width="15.83203125" style="39" hidden="1" customWidth="1"/>
    <col min="19" max="25" width="13.5" style="39" hidden="1" customWidth="1"/>
    <col min="26" max="29" width="8.83203125" style="39" hidden="1" customWidth="1"/>
    <col min="30" max="30" width="7.6640625" style="39" hidden="1" customWidth="1"/>
    <col min="31" max="31" width="8.83203125" style="39" hidden="1" customWidth="1"/>
    <col min="32" max="32" width="11" style="39" hidden="1" customWidth="1"/>
    <col min="33" max="16384" width="8.83203125" style="39" hidden="1"/>
  </cols>
  <sheetData>
    <row r="2" spans="1:30" ht="18" x14ac:dyDescent="0.2">
      <c r="A2" s="607"/>
      <c r="B2" s="608"/>
      <c r="C2" s="608"/>
      <c r="D2" s="608"/>
      <c r="E2" s="608"/>
      <c r="F2" s="608"/>
      <c r="G2" s="608"/>
      <c r="H2" s="608"/>
      <c r="I2" s="33"/>
      <c r="K2" s="605" t="s">
        <v>119</v>
      </c>
      <c r="L2" s="606"/>
      <c r="M2" s="153">
        <v>8.8333333333333333E-2</v>
      </c>
      <c r="O2" s="199" t="s">
        <v>120</v>
      </c>
      <c r="P2" s="217">
        <f>'INGRESO DE DATOS'!P30</f>
        <v>1</v>
      </c>
      <c r="Q2" s="217"/>
      <c r="R2" s="219"/>
      <c r="S2" s="218" t="s">
        <v>25</v>
      </c>
      <c r="T2" s="40" t="s">
        <v>26</v>
      </c>
      <c r="U2" s="41" t="s">
        <v>27</v>
      </c>
      <c r="V2" s="42"/>
      <c r="AA2" s="600" t="s">
        <v>121</v>
      </c>
      <c r="AB2" s="600"/>
      <c r="AC2" s="600"/>
      <c r="AD2" s="196">
        <v>1</v>
      </c>
    </row>
    <row r="3" spans="1:30" ht="19" thickBot="1" x14ac:dyDescent="0.25">
      <c r="A3" s="243"/>
      <c r="B3" s="244"/>
      <c r="C3" s="244"/>
      <c r="D3" s="244"/>
      <c r="E3" s="244"/>
      <c r="F3" s="244"/>
      <c r="G3" s="244"/>
      <c r="H3" s="245"/>
      <c r="I3" s="33"/>
      <c r="K3" s="44" t="s">
        <v>122</v>
      </c>
      <c r="L3" s="45"/>
      <c r="M3" s="152">
        <v>0.26124999999999998</v>
      </c>
      <c r="O3" s="601" t="s">
        <v>123</v>
      </c>
      <c r="P3" s="602"/>
      <c r="Q3" s="215"/>
      <c r="R3" s="215"/>
      <c r="S3" s="226">
        <f>'INGRESO DE DATOS'!O39</f>
        <v>0</v>
      </c>
      <c r="T3" s="46">
        <f>'INGRESO DE DATOS'!P39</f>
        <v>0</v>
      </c>
      <c r="U3" s="46">
        <f>'INGRESO DE DATOS'!Q39</f>
        <v>0</v>
      </c>
      <c r="V3" s="46">
        <f>'INGRESO DE DATOS'!R39</f>
        <v>0</v>
      </c>
      <c r="W3" s="46">
        <f>'INGRESO DE DATOS'!S39</f>
        <v>0</v>
      </c>
      <c r="AA3" s="600" t="s">
        <v>124</v>
      </c>
      <c r="AB3" s="600"/>
      <c r="AC3" s="600"/>
      <c r="AD3" s="197">
        <v>0.04</v>
      </c>
    </row>
    <row r="4" spans="1:30" ht="15" x14ac:dyDescent="0.2">
      <c r="A4" s="589"/>
      <c r="B4" s="590"/>
      <c r="C4" s="590"/>
      <c r="D4" s="590"/>
      <c r="E4" s="590"/>
      <c r="F4" s="590"/>
      <c r="G4" s="590"/>
      <c r="H4" s="590"/>
      <c r="I4" s="198"/>
      <c r="K4" s="48" t="s">
        <v>125</v>
      </c>
      <c r="L4" s="49"/>
      <c r="M4" s="359">
        <v>0.51500000000000001</v>
      </c>
      <c r="O4" s="603" t="s">
        <v>126</v>
      </c>
      <c r="P4" s="604"/>
      <c r="Q4" s="216"/>
      <c r="R4" s="216"/>
      <c r="S4" s="227">
        <f>'INGRESO DE DATOS'!O47</f>
        <v>1</v>
      </c>
      <c r="T4" s="228">
        <f>'INGRESO DE DATOS'!P47</f>
        <v>1</v>
      </c>
      <c r="U4" s="228">
        <f>'INGRESO DE DATOS'!Q47</f>
        <v>1</v>
      </c>
      <c r="V4" s="228">
        <f>'INGRESO DE DATOS'!R47</f>
        <v>0</v>
      </c>
      <c r="W4" s="229">
        <f>'INGRESO DE DATOS'!S47</f>
        <v>0</v>
      </c>
      <c r="AA4" s="43"/>
      <c r="AB4" s="50"/>
      <c r="AC4" s="51"/>
    </row>
    <row r="5" spans="1:30" ht="18" x14ac:dyDescent="0.2">
      <c r="A5" s="584" t="s">
        <v>127</v>
      </c>
      <c r="B5" s="585"/>
      <c r="C5" s="585"/>
      <c r="D5" s="585"/>
      <c r="E5" s="585"/>
      <c r="F5" s="585"/>
      <c r="G5" s="585"/>
      <c r="H5" s="585"/>
      <c r="I5" s="585"/>
      <c r="K5" s="48" t="s">
        <v>128</v>
      </c>
      <c r="L5" s="49"/>
      <c r="M5" s="359">
        <v>0.53</v>
      </c>
    </row>
    <row r="6" spans="1:30" ht="18" x14ac:dyDescent="0.2">
      <c r="A6" s="586" t="s">
        <v>70</v>
      </c>
      <c r="B6" s="587"/>
      <c r="C6" s="587"/>
      <c r="D6" s="587"/>
      <c r="E6" s="587"/>
      <c r="F6" s="587"/>
      <c r="G6" s="587"/>
      <c r="H6" s="587"/>
      <c r="I6" s="587"/>
      <c r="K6" s="44" t="s">
        <v>129</v>
      </c>
      <c r="L6" s="45"/>
      <c r="M6" s="152">
        <v>0.27500000000000002</v>
      </c>
    </row>
    <row r="7" spans="1:30" x14ac:dyDescent="0.15">
      <c r="A7" s="597"/>
      <c r="B7" s="598"/>
      <c r="C7" s="598"/>
      <c r="D7" s="598"/>
      <c r="E7" s="598"/>
      <c r="F7" s="598"/>
      <c r="G7" s="598"/>
      <c r="H7" s="598"/>
      <c r="I7" s="599"/>
      <c r="K7" s="605" t="s">
        <v>130</v>
      </c>
      <c r="L7" s="606"/>
      <c r="M7" s="153">
        <v>9.3329999999999996E-2</v>
      </c>
    </row>
    <row r="8" spans="1:30" x14ac:dyDescent="0.15">
      <c r="A8" s="593" t="s">
        <v>131</v>
      </c>
      <c r="B8" s="594"/>
      <c r="C8" s="200">
        <v>250</v>
      </c>
      <c r="D8" s="200">
        <v>500</v>
      </c>
      <c r="E8" s="200">
        <v>1000</v>
      </c>
      <c r="F8" s="200">
        <v>2000</v>
      </c>
      <c r="G8" s="200">
        <v>5000</v>
      </c>
      <c r="H8" s="212">
        <v>10000</v>
      </c>
      <c r="I8" s="201">
        <v>20000</v>
      </c>
      <c r="K8" s="588" t="s">
        <v>132</v>
      </c>
      <c r="L8" s="588"/>
      <c r="M8" s="588"/>
      <c r="N8" s="588"/>
      <c r="O8" s="588"/>
      <c r="P8" s="588"/>
      <c r="Q8" s="588"/>
      <c r="S8" s="592" t="s">
        <v>133</v>
      </c>
      <c r="T8" s="588"/>
      <c r="U8" s="588"/>
      <c r="V8" s="588"/>
      <c r="W8" s="588"/>
      <c r="X8" s="588"/>
      <c r="Y8" s="588"/>
    </row>
    <row r="9" spans="1:30" ht="14" x14ac:dyDescent="0.2">
      <c r="A9" s="189">
        <v>18</v>
      </c>
      <c r="B9" s="187"/>
      <c r="C9" s="190">
        <f t="shared" ref="C9" si="0">S9*$AD$2</f>
        <v>3461</v>
      </c>
      <c r="D9" s="190">
        <f t="shared" ref="D9" si="1">T9*$AD$2</f>
        <v>3012</v>
      </c>
      <c r="E9" s="190">
        <f t="shared" ref="E9" si="2">U9*$AD$2</f>
        <v>2630</v>
      </c>
      <c r="F9" s="190">
        <f t="shared" ref="F9" si="3">V9*$AD$2</f>
        <v>1834</v>
      </c>
      <c r="G9" s="190">
        <f t="shared" ref="G9" si="4">W9*$AD$2</f>
        <v>991</v>
      </c>
      <c r="H9" s="190">
        <f t="shared" ref="H9" si="5">X9*$AD$2</f>
        <v>561</v>
      </c>
      <c r="I9" s="190">
        <f t="shared" ref="I9" si="6">Y9*$AD$2</f>
        <v>328</v>
      </c>
      <c r="K9" s="186">
        <f>IF('INGRESO DE DATOS'!$W$19=1,'Tablas Guyanas y Santa Elena'!C6,'Tablas Resto de Ecuador'!C6)</f>
        <v>3461</v>
      </c>
      <c r="L9" s="186">
        <f>IF('INGRESO DE DATOS'!$W$19=1,'Tablas Guyanas y Santa Elena'!D6,'Tablas Resto de Ecuador'!D6)</f>
        <v>3012</v>
      </c>
      <c r="M9" s="186">
        <f>IF('INGRESO DE DATOS'!$W$19=1,'Tablas Guyanas y Santa Elena'!E6,'Tablas Resto de Ecuador'!E6)</f>
        <v>2630</v>
      </c>
      <c r="N9" s="186">
        <f>IF('INGRESO DE DATOS'!$W$19=1,'Tablas Guyanas y Santa Elena'!F6,'Tablas Resto de Ecuador'!F6)</f>
        <v>1834</v>
      </c>
      <c r="O9" s="186">
        <f>IF('INGRESO DE DATOS'!$W$19=1,'Tablas Guyanas y Santa Elena'!G6,'Tablas Resto de Ecuador'!G6)</f>
        <v>991</v>
      </c>
      <c r="P9" s="186">
        <f>IF('INGRESO DE DATOS'!$W$19=1,'Tablas Guyanas y Santa Elena'!H6,'Tablas Resto de Ecuador'!H6)</f>
        <v>561</v>
      </c>
      <c r="Q9" s="186">
        <f>IF('INGRESO DE DATOS'!$W$19=1,'Tablas Guyanas y Santa Elena'!I6,'Tablas Resto de Ecuador'!I6)</f>
        <v>328</v>
      </c>
      <c r="S9" s="188">
        <f>K9*$T$4</f>
        <v>3461</v>
      </c>
      <c r="T9" s="188">
        <f t="shared" ref="T9:Y9" si="7">L9*$T$4</f>
        <v>3012</v>
      </c>
      <c r="U9" s="188">
        <f t="shared" si="7"/>
        <v>2630</v>
      </c>
      <c r="V9" s="188">
        <f t="shared" si="7"/>
        <v>1834</v>
      </c>
      <c r="W9" s="188">
        <f t="shared" si="7"/>
        <v>991</v>
      </c>
      <c r="X9" s="188">
        <f t="shared" si="7"/>
        <v>561</v>
      </c>
      <c r="Y9" s="188">
        <f t="shared" si="7"/>
        <v>328</v>
      </c>
    </row>
    <row r="10" spans="1:30" ht="14" x14ac:dyDescent="0.2">
      <c r="A10" s="189">
        <v>19</v>
      </c>
      <c r="B10" s="187"/>
      <c r="C10" s="190">
        <f t="shared" ref="C10:C73" si="8">S10*$AD$2</f>
        <v>3517</v>
      </c>
      <c r="D10" s="190">
        <f t="shared" ref="D10:D73" si="9">T10*$AD$2</f>
        <v>3065</v>
      </c>
      <c r="E10" s="190">
        <f t="shared" ref="E10:E73" si="10">U10*$AD$2</f>
        <v>2630</v>
      </c>
      <c r="F10" s="190">
        <f t="shared" ref="F10:F73" si="11">V10*$AD$2</f>
        <v>1834</v>
      </c>
      <c r="G10" s="190">
        <f t="shared" ref="G10:G73" si="12">W10*$AD$2</f>
        <v>998</v>
      </c>
      <c r="H10" s="190">
        <f t="shared" ref="H10:H73" si="13">X10*$AD$2</f>
        <v>566</v>
      </c>
      <c r="I10" s="190">
        <f t="shared" ref="I10:I73" si="14">Y10*$AD$2</f>
        <v>334</v>
      </c>
      <c r="K10" s="186">
        <f>IF('INGRESO DE DATOS'!$W$19=1,'Tablas Guyanas y Santa Elena'!C7,'Tablas Resto de Ecuador'!C7)</f>
        <v>3517</v>
      </c>
      <c r="L10" s="186">
        <f>IF('INGRESO DE DATOS'!$W$19=1,'Tablas Guyanas y Santa Elena'!D7,'Tablas Resto de Ecuador'!D7)</f>
        <v>3065</v>
      </c>
      <c r="M10" s="186">
        <f>IF('INGRESO DE DATOS'!$W$19=1,'Tablas Guyanas y Santa Elena'!E7,'Tablas Resto de Ecuador'!E7)</f>
        <v>2630</v>
      </c>
      <c r="N10" s="186">
        <f>IF('INGRESO DE DATOS'!$W$19=1,'Tablas Guyanas y Santa Elena'!F7,'Tablas Resto de Ecuador'!F7)</f>
        <v>1834</v>
      </c>
      <c r="O10" s="186">
        <f>IF('INGRESO DE DATOS'!$W$19=1,'Tablas Guyanas y Santa Elena'!G7,'Tablas Resto de Ecuador'!G7)</f>
        <v>998</v>
      </c>
      <c r="P10" s="186">
        <f>IF('INGRESO DE DATOS'!$W$19=1,'Tablas Guyanas y Santa Elena'!H7,'Tablas Resto de Ecuador'!H7)</f>
        <v>566</v>
      </c>
      <c r="Q10" s="186">
        <f>IF('INGRESO DE DATOS'!$W$19=1,'Tablas Guyanas y Santa Elena'!I7,'Tablas Resto de Ecuador'!I7)</f>
        <v>334</v>
      </c>
      <c r="S10" s="188">
        <f t="shared" ref="S10:S73" si="15">K10*$T$4</f>
        <v>3517</v>
      </c>
      <c r="T10" s="188">
        <f t="shared" ref="T10:T73" si="16">L10*$T$4</f>
        <v>3065</v>
      </c>
      <c r="U10" s="188">
        <f t="shared" ref="U10:U73" si="17">M10*$T$4</f>
        <v>2630</v>
      </c>
      <c r="V10" s="188">
        <f t="shared" ref="V10:V73" si="18">N10*$T$4</f>
        <v>1834</v>
      </c>
      <c r="W10" s="188">
        <f t="shared" ref="W10:W73" si="19">O10*$T$4</f>
        <v>998</v>
      </c>
      <c r="X10" s="188">
        <f t="shared" ref="X10:X73" si="20">P10*$T$4</f>
        <v>566</v>
      </c>
      <c r="Y10" s="188">
        <f t="shared" ref="Y10:Y73" si="21">Q10*$T$4</f>
        <v>334</v>
      </c>
    </row>
    <row r="11" spans="1:30" ht="14" x14ac:dyDescent="0.2">
      <c r="A11" s="189">
        <v>20</v>
      </c>
      <c r="B11" s="187"/>
      <c r="C11" s="190">
        <f t="shared" si="8"/>
        <v>3577</v>
      </c>
      <c r="D11" s="190">
        <f t="shared" si="9"/>
        <v>3114</v>
      </c>
      <c r="E11" s="190">
        <f t="shared" si="10"/>
        <v>2630</v>
      </c>
      <c r="F11" s="190">
        <f t="shared" si="11"/>
        <v>1837</v>
      </c>
      <c r="G11" s="190">
        <f t="shared" si="12"/>
        <v>1007</v>
      </c>
      <c r="H11" s="190">
        <f t="shared" si="13"/>
        <v>576</v>
      </c>
      <c r="I11" s="190">
        <f t="shared" si="14"/>
        <v>341</v>
      </c>
      <c r="K11" s="186">
        <f>IF('INGRESO DE DATOS'!$W$19=1,'Tablas Guyanas y Santa Elena'!C8,'Tablas Resto de Ecuador'!C8)</f>
        <v>3577</v>
      </c>
      <c r="L11" s="186">
        <f>IF('INGRESO DE DATOS'!$W$19=1,'Tablas Guyanas y Santa Elena'!D8,'Tablas Resto de Ecuador'!D8)</f>
        <v>3114</v>
      </c>
      <c r="M11" s="186">
        <f>IF('INGRESO DE DATOS'!$W$19=1,'Tablas Guyanas y Santa Elena'!E8,'Tablas Resto de Ecuador'!E8)</f>
        <v>2630</v>
      </c>
      <c r="N11" s="186">
        <f>IF('INGRESO DE DATOS'!$W$19=1,'Tablas Guyanas y Santa Elena'!F8,'Tablas Resto de Ecuador'!F8)</f>
        <v>1837</v>
      </c>
      <c r="O11" s="186">
        <f>IF('INGRESO DE DATOS'!$W$19=1,'Tablas Guyanas y Santa Elena'!G8,'Tablas Resto de Ecuador'!G8)</f>
        <v>1007</v>
      </c>
      <c r="P11" s="186">
        <f>IF('INGRESO DE DATOS'!$W$19=1,'Tablas Guyanas y Santa Elena'!H8,'Tablas Resto de Ecuador'!H8)</f>
        <v>576</v>
      </c>
      <c r="Q11" s="186">
        <f>IF('INGRESO DE DATOS'!$W$19=1,'Tablas Guyanas y Santa Elena'!I8,'Tablas Resto de Ecuador'!I8)</f>
        <v>341</v>
      </c>
      <c r="S11" s="188">
        <f t="shared" si="15"/>
        <v>3577</v>
      </c>
      <c r="T11" s="188">
        <f t="shared" si="16"/>
        <v>3114</v>
      </c>
      <c r="U11" s="188">
        <f t="shared" si="17"/>
        <v>2630</v>
      </c>
      <c r="V11" s="188">
        <f t="shared" si="18"/>
        <v>1837</v>
      </c>
      <c r="W11" s="188">
        <f t="shared" si="19"/>
        <v>1007</v>
      </c>
      <c r="X11" s="188">
        <f t="shared" si="20"/>
        <v>576</v>
      </c>
      <c r="Y11" s="188">
        <f t="shared" si="21"/>
        <v>341</v>
      </c>
    </row>
    <row r="12" spans="1:30" ht="14" x14ac:dyDescent="0.2">
      <c r="A12" s="189">
        <v>21</v>
      </c>
      <c r="B12" s="187"/>
      <c r="C12" s="190">
        <f t="shared" si="8"/>
        <v>3645</v>
      </c>
      <c r="D12" s="190">
        <f t="shared" si="9"/>
        <v>3170</v>
      </c>
      <c r="E12" s="190">
        <f t="shared" si="10"/>
        <v>2630</v>
      </c>
      <c r="F12" s="190">
        <f t="shared" si="11"/>
        <v>1846</v>
      </c>
      <c r="G12" s="190">
        <f t="shared" si="12"/>
        <v>1020</v>
      </c>
      <c r="H12" s="190">
        <f t="shared" si="13"/>
        <v>586</v>
      </c>
      <c r="I12" s="190">
        <f t="shared" si="14"/>
        <v>349</v>
      </c>
      <c r="K12" s="186">
        <f>IF('INGRESO DE DATOS'!$W$19=1,'Tablas Guyanas y Santa Elena'!C9,'Tablas Resto de Ecuador'!C9)</f>
        <v>3645</v>
      </c>
      <c r="L12" s="186">
        <f>IF('INGRESO DE DATOS'!$W$19=1,'Tablas Guyanas y Santa Elena'!D9,'Tablas Resto de Ecuador'!D9)</f>
        <v>3170</v>
      </c>
      <c r="M12" s="186">
        <f>IF('INGRESO DE DATOS'!$W$19=1,'Tablas Guyanas y Santa Elena'!E9,'Tablas Resto de Ecuador'!E9)</f>
        <v>2630</v>
      </c>
      <c r="N12" s="186">
        <f>IF('INGRESO DE DATOS'!$W$19=1,'Tablas Guyanas y Santa Elena'!F9,'Tablas Resto de Ecuador'!F9)</f>
        <v>1846</v>
      </c>
      <c r="O12" s="186">
        <f>IF('INGRESO DE DATOS'!$W$19=1,'Tablas Guyanas y Santa Elena'!G9,'Tablas Resto de Ecuador'!G9)</f>
        <v>1020</v>
      </c>
      <c r="P12" s="186">
        <f>IF('INGRESO DE DATOS'!$W$19=1,'Tablas Guyanas y Santa Elena'!H9,'Tablas Resto de Ecuador'!H9)</f>
        <v>586</v>
      </c>
      <c r="Q12" s="186">
        <f>IF('INGRESO DE DATOS'!$W$19=1,'Tablas Guyanas y Santa Elena'!I9,'Tablas Resto de Ecuador'!I9)</f>
        <v>349</v>
      </c>
      <c r="S12" s="188">
        <f t="shared" si="15"/>
        <v>3645</v>
      </c>
      <c r="T12" s="188">
        <f t="shared" si="16"/>
        <v>3170</v>
      </c>
      <c r="U12" s="188">
        <f t="shared" si="17"/>
        <v>2630</v>
      </c>
      <c r="V12" s="188">
        <f t="shared" si="18"/>
        <v>1846</v>
      </c>
      <c r="W12" s="188">
        <f t="shared" si="19"/>
        <v>1020</v>
      </c>
      <c r="X12" s="188">
        <f t="shared" si="20"/>
        <v>586</v>
      </c>
      <c r="Y12" s="188">
        <f t="shared" si="21"/>
        <v>349</v>
      </c>
    </row>
    <row r="13" spans="1:30" ht="14" x14ac:dyDescent="0.2">
      <c r="A13" s="189">
        <v>22</v>
      </c>
      <c r="B13" s="187"/>
      <c r="C13" s="190">
        <f t="shared" si="8"/>
        <v>3706</v>
      </c>
      <c r="D13" s="190">
        <f t="shared" si="9"/>
        <v>3222</v>
      </c>
      <c r="E13" s="190">
        <f t="shared" si="10"/>
        <v>2634</v>
      </c>
      <c r="F13" s="190">
        <f t="shared" si="11"/>
        <v>1859</v>
      </c>
      <c r="G13" s="190">
        <f t="shared" si="12"/>
        <v>1033</v>
      </c>
      <c r="H13" s="190">
        <f t="shared" si="13"/>
        <v>597</v>
      </c>
      <c r="I13" s="190">
        <f t="shared" si="14"/>
        <v>359</v>
      </c>
      <c r="K13" s="186">
        <f>IF('INGRESO DE DATOS'!$W$19=1,'Tablas Guyanas y Santa Elena'!C10,'Tablas Resto de Ecuador'!C10)</f>
        <v>3706</v>
      </c>
      <c r="L13" s="186">
        <f>IF('INGRESO DE DATOS'!$W$19=1,'Tablas Guyanas y Santa Elena'!D10,'Tablas Resto de Ecuador'!D10)</f>
        <v>3222</v>
      </c>
      <c r="M13" s="186">
        <f>IF('INGRESO DE DATOS'!$W$19=1,'Tablas Guyanas y Santa Elena'!E10,'Tablas Resto de Ecuador'!E10)</f>
        <v>2634</v>
      </c>
      <c r="N13" s="186">
        <f>IF('INGRESO DE DATOS'!$W$19=1,'Tablas Guyanas y Santa Elena'!F10,'Tablas Resto de Ecuador'!F10)</f>
        <v>1859</v>
      </c>
      <c r="O13" s="186">
        <f>IF('INGRESO DE DATOS'!$W$19=1,'Tablas Guyanas y Santa Elena'!G10,'Tablas Resto de Ecuador'!G10)</f>
        <v>1033</v>
      </c>
      <c r="P13" s="186">
        <f>IF('INGRESO DE DATOS'!$W$19=1,'Tablas Guyanas y Santa Elena'!H10,'Tablas Resto de Ecuador'!H10)</f>
        <v>597</v>
      </c>
      <c r="Q13" s="186">
        <f>IF('INGRESO DE DATOS'!$W$19=1,'Tablas Guyanas y Santa Elena'!I10,'Tablas Resto de Ecuador'!I10)</f>
        <v>359</v>
      </c>
      <c r="S13" s="188">
        <f t="shared" si="15"/>
        <v>3706</v>
      </c>
      <c r="T13" s="188">
        <f t="shared" si="16"/>
        <v>3222</v>
      </c>
      <c r="U13" s="188">
        <f t="shared" si="17"/>
        <v>2634</v>
      </c>
      <c r="V13" s="188">
        <f t="shared" si="18"/>
        <v>1859</v>
      </c>
      <c r="W13" s="188">
        <f t="shared" si="19"/>
        <v>1033</v>
      </c>
      <c r="X13" s="188">
        <f t="shared" si="20"/>
        <v>597</v>
      </c>
      <c r="Y13" s="188">
        <f t="shared" si="21"/>
        <v>359</v>
      </c>
    </row>
    <row r="14" spans="1:30" ht="14" x14ac:dyDescent="0.2">
      <c r="A14" s="189">
        <v>23</v>
      </c>
      <c r="B14" s="187"/>
      <c r="C14" s="190">
        <f t="shared" si="8"/>
        <v>3767</v>
      </c>
      <c r="D14" s="190">
        <f t="shared" si="9"/>
        <v>3273</v>
      </c>
      <c r="E14" s="190">
        <f t="shared" si="10"/>
        <v>2649</v>
      </c>
      <c r="F14" s="190">
        <f t="shared" si="11"/>
        <v>1876</v>
      </c>
      <c r="G14" s="190">
        <f t="shared" si="12"/>
        <v>1049</v>
      </c>
      <c r="H14" s="190">
        <f t="shared" si="13"/>
        <v>610</v>
      </c>
      <c r="I14" s="190">
        <f t="shared" si="14"/>
        <v>368</v>
      </c>
      <c r="K14" s="186">
        <f>IF('INGRESO DE DATOS'!$W$19=1,'Tablas Guyanas y Santa Elena'!C11,'Tablas Resto de Ecuador'!C11)</f>
        <v>3767</v>
      </c>
      <c r="L14" s="186">
        <f>IF('INGRESO DE DATOS'!$W$19=1,'Tablas Guyanas y Santa Elena'!D11,'Tablas Resto de Ecuador'!D11)</f>
        <v>3273</v>
      </c>
      <c r="M14" s="186">
        <f>IF('INGRESO DE DATOS'!$W$19=1,'Tablas Guyanas y Santa Elena'!E11,'Tablas Resto de Ecuador'!E11)</f>
        <v>2649</v>
      </c>
      <c r="N14" s="186">
        <f>IF('INGRESO DE DATOS'!$W$19=1,'Tablas Guyanas y Santa Elena'!F11,'Tablas Resto de Ecuador'!F11)</f>
        <v>1876</v>
      </c>
      <c r="O14" s="186">
        <f>IF('INGRESO DE DATOS'!$W$19=1,'Tablas Guyanas y Santa Elena'!G11,'Tablas Resto de Ecuador'!G11)</f>
        <v>1049</v>
      </c>
      <c r="P14" s="186">
        <f>IF('INGRESO DE DATOS'!$W$19=1,'Tablas Guyanas y Santa Elena'!H11,'Tablas Resto de Ecuador'!H11)</f>
        <v>610</v>
      </c>
      <c r="Q14" s="186">
        <f>IF('INGRESO DE DATOS'!$W$19=1,'Tablas Guyanas y Santa Elena'!I11,'Tablas Resto de Ecuador'!I11)</f>
        <v>368</v>
      </c>
      <c r="S14" s="188">
        <f t="shared" si="15"/>
        <v>3767</v>
      </c>
      <c r="T14" s="188">
        <f t="shared" si="16"/>
        <v>3273</v>
      </c>
      <c r="U14" s="188">
        <f t="shared" si="17"/>
        <v>2649</v>
      </c>
      <c r="V14" s="188">
        <f t="shared" si="18"/>
        <v>1876</v>
      </c>
      <c r="W14" s="188">
        <f t="shared" si="19"/>
        <v>1049</v>
      </c>
      <c r="X14" s="188">
        <f t="shared" si="20"/>
        <v>610</v>
      </c>
      <c r="Y14" s="188">
        <f t="shared" si="21"/>
        <v>368</v>
      </c>
    </row>
    <row r="15" spans="1:30" ht="14" x14ac:dyDescent="0.2">
      <c r="A15" s="189">
        <v>24</v>
      </c>
      <c r="B15" s="187"/>
      <c r="C15" s="190">
        <f t="shared" si="8"/>
        <v>3828</v>
      </c>
      <c r="D15" s="190">
        <f t="shared" si="9"/>
        <v>3327</v>
      </c>
      <c r="E15" s="190">
        <f t="shared" si="10"/>
        <v>2670</v>
      </c>
      <c r="F15" s="190">
        <f t="shared" si="11"/>
        <v>1900</v>
      </c>
      <c r="G15" s="190">
        <f t="shared" si="12"/>
        <v>1071</v>
      </c>
      <c r="H15" s="190">
        <f t="shared" si="13"/>
        <v>625</v>
      </c>
      <c r="I15" s="190">
        <f t="shared" si="14"/>
        <v>380</v>
      </c>
      <c r="K15" s="186">
        <f>IF('INGRESO DE DATOS'!$W$19=1,'Tablas Guyanas y Santa Elena'!C12,'Tablas Resto de Ecuador'!C12)</f>
        <v>3828</v>
      </c>
      <c r="L15" s="186">
        <f>IF('INGRESO DE DATOS'!$W$19=1,'Tablas Guyanas y Santa Elena'!D12,'Tablas Resto de Ecuador'!D12)</f>
        <v>3327</v>
      </c>
      <c r="M15" s="186">
        <f>IF('INGRESO DE DATOS'!$W$19=1,'Tablas Guyanas y Santa Elena'!E12,'Tablas Resto de Ecuador'!E12)</f>
        <v>2670</v>
      </c>
      <c r="N15" s="186">
        <f>IF('INGRESO DE DATOS'!$W$19=1,'Tablas Guyanas y Santa Elena'!F12,'Tablas Resto de Ecuador'!F12)</f>
        <v>1900</v>
      </c>
      <c r="O15" s="186">
        <f>IF('INGRESO DE DATOS'!$W$19=1,'Tablas Guyanas y Santa Elena'!G12,'Tablas Resto de Ecuador'!G12)</f>
        <v>1071</v>
      </c>
      <c r="P15" s="186">
        <f>IF('INGRESO DE DATOS'!$W$19=1,'Tablas Guyanas y Santa Elena'!H12,'Tablas Resto de Ecuador'!H12)</f>
        <v>625</v>
      </c>
      <c r="Q15" s="186">
        <f>IF('INGRESO DE DATOS'!$W$19=1,'Tablas Guyanas y Santa Elena'!I12,'Tablas Resto de Ecuador'!I12)</f>
        <v>380</v>
      </c>
      <c r="S15" s="188">
        <f t="shared" si="15"/>
        <v>3828</v>
      </c>
      <c r="T15" s="188">
        <f t="shared" si="16"/>
        <v>3327</v>
      </c>
      <c r="U15" s="188">
        <f t="shared" si="17"/>
        <v>2670</v>
      </c>
      <c r="V15" s="188">
        <f t="shared" si="18"/>
        <v>1900</v>
      </c>
      <c r="W15" s="188">
        <f t="shared" si="19"/>
        <v>1071</v>
      </c>
      <c r="X15" s="188">
        <f t="shared" si="20"/>
        <v>625</v>
      </c>
      <c r="Y15" s="188">
        <f t="shared" si="21"/>
        <v>380</v>
      </c>
    </row>
    <row r="16" spans="1:30" ht="14" x14ac:dyDescent="0.2">
      <c r="A16" s="189">
        <v>25</v>
      </c>
      <c r="B16" s="187"/>
      <c r="C16" s="190">
        <f t="shared" si="8"/>
        <v>3888</v>
      </c>
      <c r="D16" s="190">
        <f t="shared" si="9"/>
        <v>3385</v>
      </c>
      <c r="E16" s="190">
        <f t="shared" si="10"/>
        <v>2696</v>
      </c>
      <c r="F16" s="190">
        <f t="shared" si="11"/>
        <v>1926</v>
      </c>
      <c r="G16" s="190">
        <f t="shared" si="12"/>
        <v>1090</v>
      </c>
      <c r="H16" s="190">
        <f t="shared" si="13"/>
        <v>640</v>
      </c>
      <c r="I16" s="190">
        <f t="shared" si="14"/>
        <v>392</v>
      </c>
      <c r="K16" s="186">
        <f>IF('INGRESO DE DATOS'!$W$19=1,'Tablas Guyanas y Santa Elena'!C13,'Tablas Resto de Ecuador'!C13)</f>
        <v>3888</v>
      </c>
      <c r="L16" s="186">
        <f>IF('INGRESO DE DATOS'!$W$19=1,'Tablas Guyanas y Santa Elena'!D13,'Tablas Resto de Ecuador'!D13)</f>
        <v>3385</v>
      </c>
      <c r="M16" s="186">
        <f>IF('INGRESO DE DATOS'!$W$19=1,'Tablas Guyanas y Santa Elena'!E13,'Tablas Resto de Ecuador'!E13)</f>
        <v>2696</v>
      </c>
      <c r="N16" s="186">
        <f>IF('INGRESO DE DATOS'!$W$19=1,'Tablas Guyanas y Santa Elena'!F13,'Tablas Resto de Ecuador'!F13)</f>
        <v>1926</v>
      </c>
      <c r="O16" s="186">
        <f>IF('INGRESO DE DATOS'!$W$19=1,'Tablas Guyanas y Santa Elena'!G13,'Tablas Resto de Ecuador'!G13)</f>
        <v>1090</v>
      </c>
      <c r="P16" s="186">
        <f>IF('INGRESO DE DATOS'!$W$19=1,'Tablas Guyanas y Santa Elena'!H13,'Tablas Resto de Ecuador'!H13)</f>
        <v>640</v>
      </c>
      <c r="Q16" s="186">
        <f>IF('INGRESO DE DATOS'!$W$19=1,'Tablas Guyanas y Santa Elena'!I13,'Tablas Resto de Ecuador'!I13)</f>
        <v>392</v>
      </c>
      <c r="S16" s="188">
        <f t="shared" si="15"/>
        <v>3888</v>
      </c>
      <c r="T16" s="188">
        <f t="shared" si="16"/>
        <v>3385</v>
      </c>
      <c r="U16" s="188">
        <f t="shared" si="17"/>
        <v>2696</v>
      </c>
      <c r="V16" s="188">
        <f t="shared" si="18"/>
        <v>1926</v>
      </c>
      <c r="W16" s="188">
        <f t="shared" si="19"/>
        <v>1090</v>
      </c>
      <c r="X16" s="188">
        <f t="shared" si="20"/>
        <v>640</v>
      </c>
      <c r="Y16" s="188">
        <f t="shared" si="21"/>
        <v>392</v>
      </c>
    </row>
    <row r="17" spans="1:25" ht="14" x14ac:dyDescent="0.2">
      <c r="A17" s="189">
        <v>26</v>
      </c>
      <c r="B17" s="187"/>
      <c r="C17" s="190">
        <f t="shared" si="8"/>
        <v>3949</v>
      </c>
      <c r="D17" s="190">
        <f t="shared" si="9"/>
        <v>3435</v>
      </c>
      <c r="E17" s="190">
        <f t="shared" si="10"/>
        <v>2731</v>
      </c>
      <c r="F17" s="190">
        <f t="shared" si="11"/>
        <v>1958</v>
      </c>
      <c r="G17" s="190">
        <f t="shared" si="12"/>
        <v>1116</v>
      </c>
      <c r="H17" s="190">
        <f t="shared" si="13"/>
        <v>658</v>
      </c>
      <c r="I17" s="190">
        <f t="shared" si="14"/>
        <v>405</v>
      </c>
      <c r="K17" s="186">
        <f>IF('INGRESO DE DATOS'!$W$19=1,'Tablas Guyanas y Santa Elena'!C14,'Tablas Resto de Ecuador'!C14)</f>
        <v>3949</v>
      </c>
      <c r="L17" s="186">
        <f>IF('INGRESO DE DATOS'!$W$19=1,'Tablas Guyanas y Santa Elena'!D14,'Tablas Resto de Ecuador'!D14)</f>
        <v>3435</v>
      </c>
      <c r="M17" s="186">
        <f>IF('INGRESO DE DATOS'!$W$19=1,'Tablas Guyanas y Santa Elena'!E14,'Tablas Resto de Ecuador'!E14)</f>
        <v>2731</v>
      </c>
      <c r="N17" s="186">
        <f>IF('INGRESO DE DATOS'!$W$19=1,'Tablas Guyanas y Santa Elena'!F14,'Tablas Resto de Ecuador'!F14)</f>
        <v>1958</v>
      </c>
      <c r="O17" s="186">
        <f>IF('INGRESO DE DATOS'!$W$19=1,'Tablas Guyanas y Santa Elena'!G14,'Tablas Resto de Ecuador'!G14)</f>
        <v>1116</v>
      </c>
      <c r="P17" s="186">
        <f>IF('INGRESO DE DATOS'!$W$19=1,'Tablas Guyanas y Santa Elena'!H14,'Tablas Resto de Ecuador'!H14)</f>
        <v>658</v>
      </c>
      <c r="Q17" s="186">
        <f>IF('INGRESO DE DATOS'!$W$19=1,'Tablas Guyanas y Santa Elena'!I14,'Tablas Resto de Ecuador'!I14)</f>
        <v>405</v>
      </c>
      <c r="S17" s="188">
        <f t="shared" si="15"/>
        <v>3949</v>
      </c>
      <c r="T17" s="188">
        <f t="shared" si="16"/>
        <v>3435</v>
      </c>
      <c r="U17" s="188">
        <f t="shared" si="17"/>
        <v>2731</v>
      </c>
      <c r="V17" s="188">
        <f t="shared" si="18"/>
        <v>1958</v>
      </c>
      <c r="W17" s="188">
        <f t="shared" si="19"/>
        <v>1116</v>
      </c>
      <c r="X17" s="188">
        <f t="shared" si="20"/>
        <v>658</v>
      </c>
      <c r="Y17" s="188">
        <f t="shared" si="21"/>
        <v>405</v>
      </c>
    </row>
    <row r="18" spans="1:25" ht="14" x14ac:dyDescent="0.2">
      <c r="A18" s="189">
        <v>27</v>
      </c>
      <c r="B18" s="187"/>
      <c r="C18" s="190">
        <f t="shared" si="8"/>
        <v>4010</v>
      </c>
      <c r="D18" s="190">
        <f t="shared" si="9"/>
        <v>3487</v>
      </c>
      <c r="E18" s="190">
        <f t="shared" si="10"/>
        <v>2770</v>
      </c>
      <c r="F18" s="190">
        <f t="shared" si="11"/>
        <v>1995</v>
      </c>
      <c r="G18" s="190">
        <f t="shared" si="12"/>
        <v>1143</v>
      </c>
      <c r="H18" s="190">
        <f t="shared" si="13"/>
        <v>679</v>
      </c>
      <c r="I18" s="190">
        <f t="shared" si="14"/>
        <v>422</v>
      </c>
      <c r="K18" s="186">
        <f>IF('INGRESO DE DATOS'!$W$19=1,'Tablas Guyanas y Santa Elena'!C15,'Tablas Resto de Ecuador'!C15)</f>
        <v>4010</v>
      </c>
      <c r="L18" s="186">
        <f>IF('INGRESO DE DATOS'!$W$19=1,'Tablas Guyanas y Santa Elena'!D15,'Tablas Resto de Ecuador'!D15)</f>
        <v>3487</v>
      </c>
      <c r="M18" s="186">
        <f>IF('INGRESO DE DATOS'!$W$19=1,'Tablas Guyanas y Santa Elena'!E15,'Tablas Resto de Ecuador'!E15)</f>
        <v>2770</v>
      </c>
      <c r="N18" s="186">
        <f>IF('INGRESO DE DATOS'!$W$19=1,'Tablas Guyanas y Santa Elena'!F15,'Tablas Resto de Ecuador'!F15)</f>
        <v>1995</v>
      </c>
      <c r="O18" s="186">
        <f>IF('INGRESO DE DATOS'!$W$19=1,'Tablas Guyanas y Santa Elena'!G15,'Tablas Resto de Ecuador'!G15)</f>
        <v>1143</v>
      </c>
      <c r="P18" s="186">
        <f>IF('INGRESO DE DATOS'!$W$19=1,'Tablas Guyanas y Santa Elena'!H15,'Tablas Resto de Ecuador'!H15)</f>
        <v>679</v>
      </c>
      <c r="Q18" s="186">
        <f>IF('INGRESO DE DATOS'!$W$19=1,'Tablas Guyanas y Santa Elena'!I15,'Tablas Resto de Ecuador'!I15)</f>
        <v>422</v>
      </c>
      <c r="S18" s="188">
        <f t="shared" si="15"/>
        <v>4010</v>
      </c>
      <c r="T18" s="188">
        <f t="shared" si="16"/>
        <v>3487</v>
      </c>
      <c r="U18" s="188">
        <f t="shared" si="17"/>
        <v>2770</v>
      </c>
      <c r="V18" s="188">
        <f t="shared" si="18"/>
        <v>1995</v>
      </c>
      <c r="W18" s="188">
        <f t="shared" si="19"/>
        <v>1143</v>
      </c>
      <c r="X18" s="188">
        <f t="shared" si="20"/>
        <v>679</v>
      </c>
      <c r="Y18" s="188">
        <f t="shared" si="21"/>
        <v>422</v>
      </c>
    </row>
    <row r="19" spans="1:25" ht="14" x14ac:dyDescent="0.2">
      <c r="A19" s="189">
        <v>28</v>
      </c>
      <c r="B19" s="187"/>
      <c r="C19" s="190">
        <f t="shared" si="8"/>
        <v>4087</v>
      </c>
      <c r="D19" s="190">
        <f t="shared" si="9"/>
        <v>3548</v>
      </c>
      <c r="E19" s="190">
        <f t="shared" si="10"/>
        <v>2819</v>
      </c>
      <c r="F19" s="190">
        <f t="shared" si="11"/>
        <v>2037</v>
      </c>
      <c r="G19" s="190">
        <f t="shared" si="12"/>
        <v>1175</v>
      </c>
      <c r="H19" s="190">
        <f t="shared" si="13"/>
        <v>701</v>
      </c>
      <c r="I19" s="190">
        <f t="shared" si="14"/>
        <v>437</v>
      </c>
      <c r="K19" s="186">
        <f>IF('INGRESO DE DATOS'!$W$19=1,'Tablas Guyanas y Santa Elena'!C16,'Tablas Resto de Ecuador'!C16)</f>
        <v>4087</v>
      </c>
      <c r="L19" s="186">
        <f>IF('INGRESO DE DATOS'!$W$19=1,'Tablas Guyanas y Santa Elena'!D16,'Tablas Resto de Ecuador'!D16)</f>
        <v>3548</v>
      </c>
      <c r="M19" s="186">
        <f>IF('INGRESO DE DATOS'!$W$19=1,'Tablas Guyanas y Santa Elena'!E16,'Tablas Resto de Ecuador'!E16)</f>
        <v>2819</v>
      </c>
      <c r="N19" s="186">
        <f>IF('INGRESO DE DATOS'!$W$19=1,'Tablas Guyanas y Santa Elena'!F16,'Tablas Resto de Ecuador'!F16)</f>
        <v>2037</v>
      </c>
      <c r="O19" s="186">
        <f>IF('INGRESO DE DATOS'!$W$19=1,'Tablas Guyanas y Santa Elena'!G16,'Tablas Resto de Ecuador'!G16)</f>
        <v>1175</v>
      </c>
      <c r="P19" s="186">
        <f>IF('INGRESO DE DATOS'!$W$19=1,'Tablas Guyanas y Santa Elena'!H16,'Tablas Resto de Ecuador'!H16)</f>
        <v>701</v>
      </c>
      <c r="Q19" s="186">
        <f>IF('INGRESO DE DATOS'!$W$19=1,'Tablas Guyanas y Santa Elena'!I16,'Tablas Resto de Ecuador'!I16)</f>
        <v>437</v>
      </c>
      <c r="S19" s="188">
        <f t="shared" si="15"/>
        <v>4087</v>
      </c>
      <c r="T19" s="188">
        <f t="shared" si="16"/>
        <v>3548</v>
      </c>
      <c r="U19" s="188">
        <f t="shared" si="17"/>
        <v>2819</v>
      </c>
      <c r="V19" s="188">
        <f t="shared" si="18"/>
        <v>2037</v>
      </c>
      <c r="W19" s="188">
        <f t="shared" si="19"/>
        <v>1175</v>
      </c>
      <c r="X19" s="188">
        <f t="shared" si="20"/>
        <v>701</v>
      </c>
      <c r="Y19" s="188">
        <f t="shared" si="21"/>
        <v>437</v>
      </c>
    </row>
    <row r="20" spans="1:25" ht="14" x14ac:dyDescent="0.2">
      <c r="A20" s="189">
        <v>29</v>
      </c>
      <c r="B20" s="187"/>
      <c r="C20" s="190">
        <f t="shared" si="8"/>
        <v>4156</v>
      </c>
      <c r="D20" s="190">
        <f t="shared" si="9"/>
        <v>3619</v>
      </c>
      <c r="E20" s="190">
        <f t="shared" si="10"/>
        <v>2875</v>
      </c>
      <c r="F20" s="190">
        <f t="shared" si="11"/>
        <v>2087</v>
      </c>
      <c r="G20" s="190">
        <f t="shared" si="12"/>
        <v>1210</v>
      </c>
      <c r="H20" s="190">
        <f t="shared" si="13"/>
        <v>723</v>
      </c>
      <c r="I20" s="190">
        <f t="shared" si="14"/>
        <v>455</v>
      </c>
      <c r="K20" s="186">
        <f>IF('INGRESO DE DATOS'!$W$19=1,'Tablas Guyanas y Santa Elena'!C17,'Tablas Resto de Ecuador'!C17)</f>
        <v>4156</v>
      </c>
      <c r="L20" s="186">
        <f>IF('INGRESO DE DATOS'!$W$19=1,'Tablas Guyanas y Santa Elena'!D17,'Tablas Resto de Ecuador'!D17)</f>
        <v>3619</v>
      </c>
      <c r="M20" s="186">
        <f>IF('INGRESO DE DATOS'!$W$19=1,'Tablas Guyanas y Santa Elena'!E17,'Tablas Resto de Ecuador'!E17)</f>
        <v>2875</v>
      </c>
      <c r="N20" s="186">
        <f>IF('INGRESO DE DATOS'!$W$19=1,'Tablas Guyanas y Santa Elena'!F17,'Tablas Resto de Ecuador'!F17)</f>
        <v>2087</v>
      </c>
      <c r="O20" s="186">
        <f>IF('INGRESO DE DATOS'!$W$19=1,'Tablas Guyanas y Santa Elena'!G17,'Tablas Resto de Ecuador'!G17)</f>
        <v>1210</v>
      </c>
      <c r="P20" s="186">
        <f>IF('INGRESO DE DATOS'!$W$19=1,'Tablas Guyanas y Santa Elena'!H17,'Tablas Resto de Ecuador'!H17)</f>
        <v>723</v>
      </c>
      <c r="Q20" s="186">
        <f>IF('INGRESO DE DATOS'!$W$19=1,'Tablas Guyanas y Santa Elena'!I17,'Tablas Resto de Ecuador'!I17)</f>
        <v>455</v>
      </c>
      <c r="S20" s="188">
        <f t="shared" si="15"/>
        <v>4156</v>
      </c>
      <c r="T20" s="188">
        <f t="shared" si="16"/>
        <v>3619</v>
      </c>
      <c r="U20" s="188">
        <f t="shared" si="17"/>
        <v>2875</v>
      </c>
      <c r="V20" s="188">
        <f t="shared" si="18"/>
        <v>2087</v>
      </c>
      <c r="W20" s="188">
        <f t="shared" si="19"/>
        <v>1210</v>
      </c>
      <c r="X20" s="188">
        <f t="shared" si="20"/>
        <v>723</v>
      </c>
      <c r="Y20" s="188">
        <f t="shared" si="21"/>
        <v>455</v>
      </c>
    </row>
    <row r="21" spans="1:25" ht="14" x14ac:dyDescent="0.2">
      <c r="A21" s="189">
        <v>30</v>
      </c>
      <c r="B21" s="187"/>
      <c r="C21" s="190">
        <f t="shared" si="8"/>
        <v>4195</v>
      </c>
      <c r="D21" s="190">
        <f t="shared" si="9"/>
        <v>3681</v>
      </c>
      <c r="E21" s="190">
        <f t="shared" si="10"/>
        <v>2941</v>
      </c>
      <c r="F21" s="190">
        <f t="shared" si="11"/>
        <v>2140</v>
      </c>
      <c r="G21" s="190">
        <f t="shared" si="12"/>
        <v>1247</v>
      </c>
      <c r="H21" s="190">
        <f t="shared" si="13"/>
        <v>751</v>
      </c>
      <c r="I21" s="190">
        <f t="shared" si="14"/>
        <v>475</v>
      </c>
      <c r="K21" s="186">
        <f>IF('INGRESO DE DATOS'!$W$19=1,'Tablas Guyanas y Santa Elena'!C18,'Tablas Resto de Ecuador'!C18)</f>
        <v>4195</v>
      </c>
      <c r="L21" s="186">
        <f>IF('INGRESO DE DATOS'!$W$19=1,'Tablas Guyanas y Santa Elena'!D18,'Tablas Resto de Ecuador'!D18)</f>
        <v>3681</v>
      </c>
      <c r="M21" s="186">
        <f>IF('INGRESO DE DATOS'!$W$19=1,'Tablas Guyanas y Santa Elena'!E18,'Tablas Resto de Ecuador'!E18)</f>
        <v>2941</v>
      </c>
      <c r="N21" s="186">
        <f>IF('INGRESO DE DATOS'!$W$19=1,'Tablas Guyanas y Santa Elena'!F18,'Tablas Resto de Ecuador'!F18)</f>
        <v>2140</v>
      </c>
      <c r="O21" s="186">
        <f>IF('INGRESO DE DATOS'!$W$19=1,'Tablas Guyanas y Santa Elena'!G18,'Tablas Resto de Ecuador'!G18)</f>
        <v>1247</v>
      </c>
      <c r="P21" s="186">
        <f>IF('INGRESO DE DATOS'!$W$19=1,'Tablas Guyanas y Santa Elena'!H18,'Tablas Resto de Ecuador'!H18)</f>
        <v>751</v>
      </c>
      <c r="Q21" s="186">
        <f>IF('INGRESO DE DATOS'!$W$19=1,'Tablas Guyanas y Santa Elena'!I18,'Tablas Resto de Ecuador'!I18)</f>
        <v>475</v>
      </c>
      <c r="S21" s="188">
        <f t="shared" si="15"/>
        <v>4195</v>
      </c>
      <c r="T21" s="188">
        <f t="shared" si="16"/>
        <v>3681</v>
      </c>
      <c r="U21" s="188">
        <f t="shared" si="17"/>
        <v>2941</v>
      </c>
      <c r="V21" s="188">
        <f t="shared" si="18"/>
        <v>2140</v>
      </c>
      <c r="W21" s="188">
        <f t="shared" si="19"/>
        <v>1247</v>
      </c>
      <c r="X21" s="188">
        <f t="shared" si="20"/>
        <v>751</v>
      </c>
      <c r="Y21" s="188">
        <f t="shared" si="21"/>
        <v>475</v>
      </c>
    </row>
    <row r="22" spans="1:25" ht="14" x14ac:dyDescent="0.2">
      <c r="A22" s="189">
        <v>31</v>
      </c>
      <c r="B22" s="187"/>
      <c r="C22" s="190">
        <f t="shared" si="8"/>
        <v>4237</v>
      </c>
      <c r="D22" s="190">
        <f t="shared" si="9"/>
        <v>3737</v>
      </c>
      <c r="E22" s="190">
        <f t="shared" si="10"/>
        <v>3013</v>
      </c>
      <c r="F22" s="190">
        <f t="shared" si="11"/>
        <v>2201</v>
      </c>
      <c r="G22" s="190">
        <f t="shared" si="12"/>
        <v>1287</v>
      </c>
      <c r="H22" s="190">
        <f t="shared" si="13"/>
        <v>781</v>
      </c>
      <c r="I22" s="190">
        <f t="shared" si="14"/>
        <v>495</v>
      </c>
      <c r="K22" s="186">
        <f>IF('INGRESO DE DATOS'!$W$19=1,'Tablas Guyanas y Santa Elena'!C19,'Tablas Resto de Ecuador'!C19)</f>
        <v>4237</v>
      </c>
      <c r="L22" s="186">
        <f>IF('INGRESO DE DATOS'!$W$19=1,'Tablas Guyanas y Santa Elena'!D19,'Tablas Resto de Ecuador'!D19)</f>
        <v>3737</v>
      </c>
      <c r="M22" s="186">
        <f>IF('INGRESO DE DATOS'!$W$19=1,'Tablas Guyanas y Santa Elena'!E19,'Tablas Resto de Ecuador'!E19)</f>
        <v>3013</v>
      </c>
      <c r="N22" s="186">
        <f>IF('INGRESO DE DATOS'!$W$19=1,'Tablas Guyanas y Santa Elena'!F19,'Tablas Resto de Ecuador'!F19)</f>
        <v>2201</v>
      </c>
      <c r="O22" s="186">
        <f>IF('INGRESO DE DATOS'!$W$19=1,'Tablas Guyanas y Santa Elena'!G19,'Tablas Resto de Ecuador'!G19)</f>
        <v>1287</v>
      </c>
      <c r="P22" s="186">
        <f>IF('INGRESO DE DATOS'!$W$19=1,'Tablas Guyanas y Santa Elena'!H19,'Tablas Resto de Ecuador'!H19)</f>
        <v>781</v>
      </c>
      <c r="Q22" s="186">
        <f>IF('INGRESO DE DATOS'!$W$19=1,'Tablas Guyanas y Santa Elena'!I19,'Tablas Resto de Ecuador'!I19)</f>
        <v>495</v>
      </c>
      <c r="S22" s="188">
        <f t="shared" si="15"/>
        <v>4237</v>
      </c>
      <c r="T22" s="188">
        <f t="shared" si="16"/>
        <v>3737</v>
      </c>
      <c r="U22" s="188">
        <f t="shared" si="17"/>
        <v>3013</v>
      </c>
      <c r="V22" s="188">
        <f t="shared" si="18"/>
        <v>2201</v>
      </c>
      <c r="W22" s="188">
        <f t="shared" si="19"/>
        <v>1287</v>
      </c>
      <c r="X22" s="188">
        <f t="shared" si="20"/>
        <v>781</v>
      </c>
      <c r="Y22" s="188">
        <f t="shared" si="21"/>
        <v>495</v>
      </c>
    </row>
    <row r="23" spans="1:25" s="51" customFormat="1" ht="14" x14ac:dyDescent="0.2">
      <c r="A23" s="191">
        <v>32</v>
      </c>
      <c r="B23" s="187"/>
      <c r="C23" s="190">
        <f t="shared" si="8"/>
        <v>4289</v>
      </c>
      <c r="D23" s="190">
        <f t="shared" si="9"/>
        <v>3760</v>
      </c>
      <c r="E23" s="190">
        <f t="shared" si="10"/>
        <v>3092</v>
      </c>
      <c r="F23" s="190">
        <f t="shared" si="11"/>
        <v>2268</v>
      </c>
      <c r="G23" s="190">
        <f t="shared" si="12"/>
        <v>1335</v>
      </c>
      <c r="H23" s="190">
        <f t="shared" si="13"/>
        <v>810</v>
      </c>
      <c r="I23" s="190">
        <f t="shared" si="14"/>
        <v>518</v>
      </c>
      <c r="K23" s="186">
        <f>IF('INGRESO DE DATOS'!$W$19=1,'Tablas Guyanas y Santa Elena'!C20,'Tablas Resto de Ecuador'!C20)</f>
        <v>4289</v>
      </c>
      <c r="L23" s="186">
        <f>IF('INGRESO DE DATOS'!$W$19=1,'Tablas Guyanas y Santa Elena'!D20,'Tablas Resto de Ecuador'!D20)</f>
        <v>3760</v>
      </c>
      <c r="M23" s="186">
        <f>IF('INGRESO DE DATOS'!$W$19=1,'Tablas Guyanas y Santa Elena'!E20,'Tablas Resto de Ecuador'!E20)</f>
        <v>3092</v>
      </c>
      <c r="N23" s="186">
        <f>IF('INGRESO DE DATOS'!$W$19=1,'Tablas Guyanas y Santa Elena'!F20,'Tablas Resto de Ecuador'!F20)</f>
        <v>2268</v>
      </c>
      <c r="O23" s="186">
        <f>IF('INGRESO DE DATOS'!$W$19=1,'Tablas Guyanas y Santa Elena'!G20,'Tablas Resto de Ecuador'!G20)</f>
        <v>1335</v>
      </c>
      <c r="P23" s="186">
        <f>IF('INGRESO DE DATOS'!$W$19=1,'Tablas Guyanas y Santa Elena'!H20,'Tablas Resto de Ecuador'!H20)</f>
        <v>810</v>
      </c>
      <c r="Q23" s="186">
        <f>IF('INGRESO DE DATOS'!$W$19=1,'Tablas Guyanas y Santa Elena'!I20,'Tablas Resto de Ecuador'!I20)</f>
        <v>518</v>
      </c>
      <c r="S23" s="188">
        <f t="shared" si="15"/>
        <v>4289</v>
      </c>
      <c r="T23" s="188">
        <f t="shared" si="16"/>
        <v>3760</v>
      </c>
      <c r="U23" s="188">
        <f t="shared" si="17"/>
        <v>3092</v>
      </c>
      <c r="V23" s="188">
        <f t="shared" si="18"/>
        <v>2268</v>
      </c>
      <c r="W23" s="188">
        <f t="shared" si="19"/>
        <v>1335</v>
      </c>
      <c r="X23" s="188">
        <f t="shared" si="20"/>
        <v>810</v>
      </c>
      <c r="Y23" s="188">
        <f t="shared" si="21"/>
        <v>518</v>
      </c>
    </row>
    <row r="24" spans="1:25" ht="14" x14ac:dyDescent="0.2">
      <c r="A24" s="189">
        <v>33</v>
      </c>
      <c r="B24" s="187"/>
      <c r="C24" s="190">
        <f t="shared" si="8"/>
        <v>4352</v>
      </c>
      <c r="D24" s="190">
        <f t="shared" si="9"/>
        <v>3794</v>
      </c>
      <c r="E24" s="190">
        <f t="shared" si="10"/>
        <v>3184</v>
      </c>
      <c r="F24" s="190">
        <f t="shared" si="11"/>
        <v>2343</v>
      </c>
      <c r="G24" s="190">
        <f t="shared" si="12"/>
        <v>1385</v>
      </c>
      <c r="H24" s="190">
        <f t="shared" si="13"/>
        <v>847</v>
      </c>
      <c r="I24" s="190">
        <f t="shared" si="14"/>
        <v>544</v>
      </c>
      <c r="K24" s="186">
        <f>IF('INGRESO DE DATOS'!$W$19=1,'Tablas Guyanas y Santa Elena'!C21,'Tablas Resto de Ecuador'!C21)</f>
        <v>4352</v>
      </c>
      <c r="L24" s="186">
        <f>IF('INGRESO DE DATOS'!$W$19=1,'Tablas Guyanas y Santa Elena'!D21,'Tablas Resto de Ecuador'!D21)</f>
        <v>3794</v>
      </c>
      <c r="M24" s="186">
        <f>IF('INGRESO DE DATOS'!$W$19=1,'Tablas Guyanas y Santa Elena'!E21,'Tablas Resto de Ecuador'!E21)</f>
        <v>3184</v>
      </c>
      <c r="N24" s="186">
        <f>IF('INGRESO DE DATOS'!$W$19=1,'Tablas Guyanas y Santa Elena'!F21,'Tablas Resto de Ecuador'!F21)</f>
        <v>2343</v>
      </c>
      <c r="O24" s="186">
        <f>IF('INGRESO DE DATOS'!$W$19=1,'Tablas Guyanas y Santa Elena'!G21,'Tablas Resto de Ecuador'!G21)</f>
        <v>1385</v>
      </c>
      <c r="P24" s="186">
        <f>IF('INGRESO DE DATOS'!$W$19=1,'Tablas Guyanas y Santa Elena'!H21,'Tablas Resto de Ecuador'!H21)</f>
        <v>847</v>
      </c>
      <c r="Q24" s="186">
        <f>IF('INGRESO DE DATOS'!$W$19=1,'Tablas Guyanas y Santa Elena'!I21,'Tablas Resto de Ecuador'!I21)</f>
        <v>544</v>
      </c>
      <c r="S24" s="188">
        <f t="shared" si="15"/>
        <v>4352</v>
      </c>
      <c r="T24" s="188">
        <f t="shared" si="16"/>
        <v>3794</v>
      </c>
      <c r="U24" s="188">
        <f t="shared" si="17"/>
        <v>3184</v>
      </c>
      <c r="V24" s="188">
        <f t="shared" si="18"/>
        <v>2343</v>
      </c>
      <c r="W24" s="188">
        <f t="shared" si="19"/>
        <v>1385</v>
      </c>
      <c r="X24" s="188">
        <f t="shared" si="20"/>
        <v>847</v>
      </c>
      <c r="Y24" s="188">
        <f t="shared" si="21"/>
        <v>544</v>
      </c>
    </row>
    <row r="25" spans="1:25" s="379" customFormat="1" ht="14" x14ac:dyDescent="0.2">
      <c r="A25" s="389">
        <v>34</v>
      </c>
      <c r="B25" s="390"/>
      <c r="C25" s="378">
        <f t="shared" si="8"/>
        <v>4425</v>
      </c>
      <c r="D25" s="378">
        <f t="shared" si="9"/>
        <v>3841</v>
      </c>
      <c r="E25" s="378">
        <f t="shared" si="10"/>
        <v>3284</v>
      </c>
      <c r="F25" s="378">
        <f t="shared" si="11"/>
        <v>2424</v>
      </c>
      <c r="G25" s="378">
        <f t="shared" si="12"/>
        <v>1441</v>
      </c>
      <c r="H25" s="378">
        <f t="shared" si="13"/>
        <v>885</v>
      </c>
      <c r="I25" s="378">
        <f t="shared" si="14"/>
        <v>572</v>
      </c>
      <c r="K25" s="380">
        <f>IF('INGRESO DE DATOS'!$W$19=1,'Tablas Guyanas y Santa Elena'!C22,'Tablas Resto de Ecuador'!C22)</f>
        <v>4425</v>
      </c>
      <c r="L25" s="380">
        <f>IF('INGRESO DE DATOS'!$W$19=1,'Tablas Guyanas y Santa Elena'!D22,'Tablas Resto de Ecuador'!D22)</f>
        <v>3841</v>
      </c>
      <c r="M25" s="380">
        <f>IF('INGRESO DE DATOS'!$W$19=1,'Tablas Guyanas y Santa Elena'!E22,'Tablas Resto de Ecuador'!E22)</f>
        <v>3284</v>
      </c>
      <c r="N25" s="380">
        <f>IF('INGRESO DE DATOS'!$W$19=1,'Tablas Guyanas y Santa Elena'!F22,'Tablas Resto de Ecuador'!F22)</f>
        <v>2424</v>
      </c>
      <c r="O25" s="380">
        <f>IF('INGRESO DE DATOS'!$W$19=1,'Tablas Guyanas y Santa Elena'!G22,'Tablas Resto de Ecuador'!G22)</f>
        <v>1441</v>
      </c>
      <c r="P25" s="380">
        <f>IF('INGRESO DE DATOS'!$W$19=1,'Tablas Guyanas y Santa Elena'!H22,'Tablas Resto de Ecuador'!H22)</f>
        <v>885</v>
      </c>
      <c r="Q25" s="380">
        <f>IF('INGRESO DE DATOS'!$W$19=1,'Tablas Guyanas y Santa Elena'!I22,'Tablas Resto de Ecuador'!I22)</f>
        <v>572</v>
      </c>
      <c r="S25" s="381">
        <f t="shared" si="15"/>
        <v>4425</v>
      </c>
      <c r="T25" s="381">
        <f t="shared" si="16"/>
        <v>3841</v>
      </c>
      <c r="U25" s="381">
        <f t="shared" si="17"/>
        <v>3284</v>
      </c>
      <c r="V25" s="381">
        <f t="shared" si="18"/>
        <v>2424</v>
      </c>
      <c r="W25" s="381">
        <f t="shared" si="19"/>
        <v>1441</v>
      </c>
      <c r="X25" s="381">
        <f t="shared" si="20"/>
        <v>885</v>
      </c>
      <c r="Y25" s="381">
        <f t="shared" si="21"/>
        <v>572</v>
      </c>
    </row>
    <row r="26" spans="1:25" ht="14" x14ac:dyDescent="0.2">
      <c r="A26" s="189">
        <v>35</v>
      </c>
      <c r="B26" s="187"/>
      <c r="C26" s="190">
        <f t="shared" si="8"/>
        <v>4508</v>
      </c>
      <c r="D26" s="190">
        <f t="shared" si="9"/>
        <v>3901</v>
      </c>
      <c r="E26" s="190">
        <f t="shared" si="10"/>
        <v>3394</v>
      </c>
      <c r="F26" s="190">
        <f t="shared" si="11"/>
        <v>2513</v>
      </c>
      <c r="G26" s="190">
        <f t="shared" si="12"/>
        <v>1500</v>
      </c>
      <c r="H26" s="190">
        <f t="shared" si="13"/>
        <v>925</v>
      </c>
      <c r="I26" s="190">
        <f t="shared" si="14"/>
        <v>600</v>
      </c>
      <c r="K26" s="186">
        <f>IF('INGRESO DE DATOS'!$W$19=1,'Tablas Guyanas y Santa Elena'!C23,'Tablas Resto de Ecuador'!C23)</f>
        <v>4508</v>
      </c>
      <c r="L26" s="186">
        <f>IF('INGRESO DE DATOS'!$W$19=1,'Tablas Guyanas y Santa Elena'!D23,'Tablas Resto de Ecuador'!D23)</f>
        <v>3901</v>
      </c>
      <c r="M26" s="186">
        <f>IF('INGRESO DE DATOS'!$W$19=1,'Tablas Guyanas y Santa Elena'!E23,'Tablas Resto de Ecuador'!E23)</f>
        <v>3394</v>
      </c>
      <c r="N26" s="186">
        <f>IF('INGRESO DE DATOS'!$W$19=1,'Tablas Guyanas y Santa Elena'!F23,'Tablas Resto de Ecuador'!F23)</f>
        <v>2513</v>
      </c>
      <c r="O26" s="186">
        <f>IF('INGRESO DE DATOS'!$W$19=1,'Tablas Guyanas y Santa Elena'!G23,'Tablas Resto de Ecuador'!G23)</f>
        <v>1500</v>
      </c>
      <c r="P26" s="186">
        <f>IF('INGRESO DE DATOS'!$W$19=1,'Tablas Guyanas y Santa Elena'!H23,'Tablas Resto de Ecuador'!H23)</f>
        <v>925</v>
      </c>
      <c r="Q26" s="186">
        <f>IF('INGRESO DE DATOS'!$W$19=1,'Tablas Guyanas y Santa Elena'!I23,'Tablas Resto de Ecuador'!I23)</f>
        <v>600</v>
      </c>
      <c r="S26" s="188">
        <f t="shared" si="15"/>
        <v>4508</v>
      </c>
      <c r="T26" s="188">
        <f t="shared" si="16"/>
        <v>3901</v>
      </c>
      <c r="U26" s="188">
        <f t="shared" si="17"/>
        <v>3394</v>
      </c>
      <c r="V26" s="188">
        <f t="shared" si="18"/>
        <v>2513</v>
      </c>
      <c r="W26" s="188">
        <f t="shared" si="19"/>
        <v>1500</v>
      </c>
      <c r="X26" s="188">
        <f t="shared" si="20"/>
        <v>925</v>
      </c>
      <c r="Y26" s="188">
        <f t="shared" si="21"/>
        <v>600</v>
      </c>
    </row>
    <row r="27" spans="1:25" ht="14" x14ac:dyDescent="0.2">
      <c r="A27" s="189">
        <v>36</v>
      </c>
      <c r="B27" s="187"/>
      <c r="C27" s="190">
        <f t="shared" si="8"/>
        <v>4603</v>
      </c>
      <c r="D27" s="190">
        <f t="shared" si="9"/>
        <v>3973</v>
      </c>
      <c r="E27" s="190">
        <f t="shared" si="10"/>
        <v>3510</v>
      </c>
      <c r="F27" s="190">
        <f t="shared" si="11"/>
        <v>2610</v>
      </c>
      <c r="G27" s="190">
        <f t="shared" si="12"/>
        <v>1567</v>
      </c>
      <c r="H27" s="190">
        <f t="shared" si="13"/>
        <v>970</v>
      </c>
      <c r="I27" s="190">
        <f t="shared" si="14"/>
        <v>633</v>
      </c>
      <c r="K27" s="186">
        <f>IF('INGRESO DE DATOS'!$W$19=1,'Tablas Guyanas y Santa Elena'!C24,'Tablas Resto de Ecuador'!C24)</f>
        <v>4603</v>
      </c>
      <c r="L27" s="186">
        <f>IF('INGRESO DE DATOS'!$W$19=1,'Tablas Guyanas y Santa Elena'!D24,'Tablas Resto de Ecuador'!D24)</f>
        <v>3973</v>
      </c>
      <c r="M27" s="186">
        <f>IF('INGRESO DE DATOS'!$W$19=1,'Tablas Guyanas y Santa Elena'!E24,'Tablas Resto de Ecuador'!E24)</f>
        <v>3510</v>
      </c>
      <c r="N27" s="186">
        <f>IF('INGRESO DE DATOS'!$W$19=1,'Tablas Guyanas y Santa Elena'!F24,'Tablas Resto de Ecuador'!F24)</f>
        <v>2610</v>
      </c>
      <c r="O27" s="186">
        <f>IF('INGRESO DE DATOS'!$W$19=1,'Tablas Guyanas y Santa Elena'!G24,'Tablas Resto de Ecuador'!G24)</f>
        <v>1567</v>
      </c>
      <c r="P27" s="186">
        <f>IF('INGRESO DE DATOS'!$W$19=1,'Tablas Guyanas y Santa Elena'!H24,'Tablas Resto de Ecuador'!H24)</f>
        <v>970</v>
      </c>
      <c r="Q27" s="186">
        <f>IF('INGRESO DE DATOS'!$W$19=1,'Tablas Guyanas y Santa Elena'!I24,'Tablas Resto de Ecuador'!I24)</f>
        <v>633</v>
      </c>
      <c r="S27" s="188">
        <f t="shared" si="15"/>
        <v>4603</v>
      </c>
      <c r="T27" s="188">
        <f t="shared" si="16"/>
        <v>3973</v>
      </c>
      <c r="U27" s="188">
        <f t="shared" si="17"/>
        <v>3510</v>
      </c>
      <c r="V27" s="188">
        <f t="shared" si="18"/>
        <v>2610</v>
      </c>
      <c r="W27" s="188">
        <f t="shared" si="19"/>
        <v>1567</v>
      </c>
      <c r="X27" s="188">
        <f t="shared" si="20"/>
        <v>970</v>
      </c>
      <c r="Y27" s="188">
        <f t="shared" si="21"/>
        <v>633</v>
      </c>
    </row>
    <row r="28" spans="1:25" ht="14" x14ac:dyDescent="0.2">
      <c r="A28" s="189">
        <v>37</v>
      </c>
      <c r="B28" s="187"/>
      <c r="C28" s="190">
        <f t="shared" si="8"/>
        <v>4708</v>
      </c>
      <c r="D28" s="190">
        <f t="shared" si="9"/>
        <v>4058</v>
      </c>
      <c r="E28" s="190">
        <f t="shared" si="10"/>
        <v>3584</v>
      </c>
      <c r="F28" s="190">
        <f t="shared" si="11"/>
        <v>2716</v>
      </c>
      <c r="G28" s="190">
        <f t="shared" si="12"/>
        <v>1638</v>
      </c>
      <c r="H28" s="190">
        <f t="shared" si="13"/>
        <v>1018</v>
      </c>
      <c r="I28" s="190">
        <f t="shared" si="14"/>
        <v>667</v>
      </c>
      <c r="K28" s="186">
        <f>IF('INGRESO DE DATOS'!$W$19=1,'Tablas Guyanas y Santa Elena'!C25,'Tablas Resto de Ecuador'!C25)</f>
        <v>4708</v>
      </c>
      <c r="L28" s="186">
        <f>IF('INGRESO DE DATOS'!$W$19=1,'Tablas Guyanas y Santa Elena'!D25,'Tablas Resto de Ecuador'!D25)</f>
        <v>4058</v>
      </c>
      <c r="M28" s="186">
        <f>IF('INGRESO DE DATOS'!$W$19=1,'Tablas Guyanas y Santa Elena'!E25,'Tablas Resto de Ecuador'!E25)</f>
        <v>3584</v>
      </c>
      <c r="N28" s="186">
        <f>IF('INGRESO DE DATOS'!$W$19=1,'Tablas Guyanas y Santa Elena'!F25,'Tablas Resto de Ecuador'!F25)</f>
        <v>2716</v>
      </c>
      <c r="O28" s="186">
        <f>IF('INGRESO DE DATOS'!$W$19=1,'Tablas Guyanas y Santa Elena'!G25,'Tablas Resto de Ecuador'!G25)</f>
        <v>1638</v>
      </c>
      <c r="P28" s="186">
        <f>IF('INGRESO DE DATOS'!$W$19=1,'Tablas Guyanas y Santa Elena'!H25,'Tablas Resto de Ecuador'!H25)</f>
        <v>1018</v>
      </c>
      <c r="Q28" s="186">
        <f>IF('INGRESO DE DATOS'!$W$19=1,'Tablas Guyanas y Santa Elena'!I25,'Tablas Resto de Ecuador'!I25)</f>
        <v>667</v>
      </c>
      <c r="S28" s="188">
        <f t="shared" si="15"/>
        <v>4708</v>
      </c>
      <c r="T28" s="188">
        <f t="shared" si="16"/>
        <v>4058</v>
      </c>
      <c r="U28" s="188">
        <f t="shared" si="17"/>
        <v>3584</v>
      </c>
      <c r="V28" s="188">
        <f t="shared" si="18"/>
        <v>2716</v>
      </c>
      <c r="W28" s="188">
        <f t="shared" si="19"/>
        <v>1638</v>
      </c>
      <c r="X28" s="188">
        <f t="shared" si="20"/>
        <v>1018</v>
      </c>
      <c r="Y28" s="188">
        <f t="shared" si="21"/>
        <v>667</v>
      </c>
    </row>
    <row r="29" spans="1:25" ht="14" x14ac:dyDescent="0.2">
      <c r="A29" s="189">
        <v>38</v>
      </c>
      <c r="B29" s="187"/>
      <c r="C29" s="190">
        <f t="shared" si="8"/>
        <v>4825</v>
      </c>
      <c r="D29" s="190">
        <f t="shared" si="9"/>
        <v>4156</v>
      </c>
      <c r="E29" s="190">
        <f t="shared" si="10"/>
        <v>3669</v>
      </c>
      <c r="F29" s="190">
        <f t="shared" si="11"/>
        <v>2834</v>
      </c>
      <c r="G29" s="190">
        <f t="shared" si="12"/>
        <v>1717</v>
      </c>
      <c r="H29" s="190">
        <f t="shared" si="13"/>
        <v>1071</v>
      </c>
      <c r="I29" s="190">
        <f t="shared" si="14"/>
        <v>708</v>
      </c>
      <c r="K29" s="186">
        <f>IF('INGRESO DE DATOS'!$W$19=1,'Tablas Guyanas y Santa Elena'!C26,'Tablas Resto de Ecuador'!C26)</f>
        <v>4825</v>
      </c>
      <c r="L29" s="186">
        <f>IF('INGRESO DE DATOS'!$W$19=1,'Tablas Guyanas y Santa Elena'!D26,'Tablas Resto de Ecuador'!D26)</f>
        <v>4156</v>
      </c>
      <c r="M29" s="186">
        <f>IF('INGRESO DE DATOS'!$W$19=1,'Tablas Guyanas y Santa Elena'!E26,'Tablas Resto de Ecuador'!E26)</f>
        <v>3669</v>
      </c>
      <c r="N29" s="186">
        <f>IF('INGRESO DE DATOS'!$W$19=1,'Tablas Guyanas y Santa Elena'!F26,'Tablas Resto de Ecuador'!F26)</f>
        <v>2834</v>
      </c>
      <c r="O29" s="186">
        <f>IF('INGRESO DE DATOS'!$W$19=1,'Tablas Guyanas y Santa Elena'!G26,'Tablas Resto de Ecuador'!G26)</f>
        <v>1717</v>
      </c>
      <c r="P29" s="186">
        <f>IF('INGRESO DE DATOS'!$W$19=1,'Tablas Guyanas y Santa Elena'!H26,'Tablas Resto de Ecuador'!H26)</f>
        <v>1071</v>
      </c>
      <c r="Q29" s="186">
        <f>IF('INGRESO DE DATOS'!$W$19=1,'Tablas Guyanas y Santa Elena'!I26,'Tablas Resto de Ecuador'!I26)</f>
        <v>708</v>
      </c>
      <c r="S29" s="188">
        <f t="shared" si="15"/>
        <v>4825</v>
      </c>
      <c r="T29" s="188">
        <f t="shared" si="16"/>
        <v>4156</v>
      </c>
      <c r="U29" s="188">
        <f t="shared" si="17"/>
        <v>3669</v>
      </c>
      <c r="V29" s="188">
        <f t="shared" si="18"/>
        <v>2834</v>
      </c>
      <c r="W29" s="188">
        <f t="shared" si="19"/>
        <v>1717</v>
      </c>
      <c r="X29" s="188">
        <f t="shared" si="20"/>
        <v>1071</v>
      </c>
      <c r="Y29" s="188">
        <f t="shared" si="21"/>
        <v>708</v>
      </c>
    </row>
    <row r="30" spans="1:25" ht="14" x14ac:dyDescent="0.2">
      <c r="A30" s="189">
        <v>39</v>
      </c>
      <c r="B30" s="187"/>
      <c r="C30" s="190">
        <f t="shared" si="8"/>
        <v>4952</v>
      </c>
      <c r="D30" s="190">
        <f t="shared" si="9"/>
        <v>4267</v>
      </c>
      <c r="E30" s="190">
        <f t="shared" si="10"/>
        <v>3765</v>
      </c>
      <c r="F30" s="190">
        <f t="shared" si="11"/>
        <v>2960</v>
      </c>
      <c r="G30" s="190">
        <f t="shared" si="12"/>
        <v>1802</v>
      </c>
      <c r="H30" s="190">
        <f t="shared" si="13"/>
        <v>1130</v>
      </c>
      <c r="I30" s="190">
        <f t="shared" si="14"/>
        <v>750</v>
      </c>
      <c r="K30" s="186">
        <f>IF('INGRESO DE DATOS'!$W$19=1,'Tablas Guyanas y Santa Elena'!C27,'Tablas Resto de Ecuador'!C27)</f>
        <v>4952</v>
      </c>
      <c r="L30" s="186">
        <f>IF('INGRESO DE DATOS'!$W$19=1,'Tablas Guyanas y Santa Elena'!D27,'Tablas Resto de Ecuador'!D27)</f>
        <v>4267</v>
      </c>
      <c r="M30" s="186">
        <f>IF('INGRESO DE DATOS'!$W$19=1,'Tablas Guyanas y Santa Elena'!E27,'Tablas Resto de Ecuador'!E27)</f>
        <v>3765</v>
      </c>
      <c r="N30" s="186">
        <f>IF('INGRESO DE DATOS'!$W$19=1,'Tablas Guyanas y Santa Elena'!F27,'Tablas Resto de Ecuador'!F27)</f>
        <v>2960</v>
      </c>
      <c r="O30" s="186">
        <f>IF('INGRESO DE DATOS'!$W$19=1,'Tablas Guyanas y Santa Elena'!G27,'Tablas Resto de Ecuador'!G27)</f>
        <v>1802</v>
      </c>
      <c r="P30" s="186">
        <f>IF('INGRESO DE DATOS'!$W$19=1,'Tablas Guyanas y Santa Elena'!H27,'Tablas Resto de Ecuador'!H27)</f>
        <v>1130</v>
      </c>
      <c r="Q30" s="186">
        <f>IF('INGRESO DE DATOS'!$W$19=1,'Tablas Guyanas y Santa Elena'!I27,'Tablas Resto de Ecuador'!I27)</f>
        <v>750</v>
      </c>
      <c r="S30" s="188">
        <f t="shared" si="15"/>
        <v>4952</v>
      </c>
      <c r="T30" s="188">
        <f t="shared" si="16"/>
        <v>4267</v>
      </c>
      <c r="U30" s="188">
        <f t="shared" si="17"/>
        <v>3765</v>
      </c>
      <c r="V30" s="188">
        <f t="shared" si="18"/>
        <v>2960</v>
      </c>
      <c r="W30" s="188">
        <f t="shared" si="19"/>
        <v>1802</v>
      </c>
      <c r="X30" s="188">
        <f t="shared" si="20"/>
        <v>1130</v>
      </c>
      <c r="Y30" s="188">
        <f t="shared" si="21"/>
        <v>750</v>
      </c>
    </row>
    <row r="31" spans="1:25" ht="14" x14ac:dyDescent="0.2">
      <c r="A31" s="189">
        <v>40</v>
      </c>
      <c r="B31" s="187"/>
      <c r="C31" s="190">
        <f t="shared" si="8"/>
        <v>5090</v>
      </c>
      <c r="D31" s="190">
        <f t="shared" si="9"/>
        <v>4390</v>
      </c>
      <c r="E31" s="190">
        <f t="shared" si="10"/>
        <v>3871</v>
      </c>
      <c r="F31" s="190">
        <f t="shared" si="11"/>
        <v>3096</v>
      </c>
      <c r="G31" s="190">
        <f t="shared" si="12"/>
        <v>1893</v>
      </c>
      <c r="H31" s="190">
        <f t="shared" si="13"/>
        <v>1191</v>
      </c>
      <c r="I31" s="190">
        <f t="shared" si="14"/>
        <v>795</v>
      </c>
      <c r="K31" s="186">
        <f>IF('INGRESO DE DATOS'!$W$19=1,'Tablas Guyanas y Santa Elena'!C28,'Tablas Resto de Ecuador'!C28)</f>
        <v>5090</v>
      </c>
      <c r="L31" s="186">
        <f>IF('INGRESO DE DATOS'!$W$19=1,'Tablas Guyanas y Santa Elena'!D28,'Tablas Resto de Ecuador'!D28)</f>
        <v>4390</v>
      </c>
      <c r="M31" s="186">
        <f>IF('INGRESO DE DATOS'!$W$19=1,'Tablas Guyanas y Santa Elena'!E28,'Tablas Resto de Ecuador'!E28)</f>
        <v>3871</v>
      </c>
      <c r="N31" s="186">
        <f>IF('INGRESO DE DATOS'!$W$19=1,'Tablas Guyanas y Santa Elena'!F28,'Tablas Resto de Ecuador'!F28)</f>
        <v>3096</v>
      </c>
      <c r="O31" s="186">
        <f>IF('INGRESO DE DATOS'!$W$19=1,'Tablas Guyanas y Santa Elena'!G28,'Tablas Resto de Ecuador'!G28)</f>
        <v>1893</v>
      </c>
      <c r="P31" s="186">
        <f>IF('INGRESO DE DATOS'!$W$19=1,'Tablas Guyanas y Santa Elena'!H28,'Tablas Resto de Ecuador'!H28)</f>
        <v>1191</v>
      </c>
      <c r="Q31" s="186">
        <f>IF('INGRESO DE DATOS'!$W$19=1,'Tablas Guyanas y Santa Elena'!I28,'Tablas Resto de Ecuador'!I28)</f>
        <v>795</v>
      </c>
      <c r="S31" s="188">
        <f t="shared" si="15"/>
        <v>5090</v>
      </c>
      <c r="T31" s="188">
        <f t="shared" si="16"/>
        <v>4390</v>
      </c>
      <c r="U31" s="188">
        <f t="shared" si="17"/>
        <v>3871</v>
      </c>
      <c r="V31" s="188">
        <f t="shared" si="18"/>
        <v>3096</v>
      </c>
      <c r="W31" s="188">
        <f t="shared" si="19"/>
        <v>1893</v>
      </c>
      <c r="X31" s="188">
        <f t="shared" si="20"/>
        <v>1191</v>
      </c>
      <c r="Y31" s="188">
        <f t="shared" si="21"/>
        <v>795</v>
      </c>
    </row>
    <row r="32" spans="1:25" ht="14" x14ac:dyDescent="0.2">
      <c r="A32" s="189">
        <v>41</v>
      </c>
      <c r="B32" s="187"/>
      <c r="C32" s="190">
        <f t="shared" si="8"/>
        <v>5239</v>
      </c>
      <c r="D32" s="190">
        <f t="shared" si="9"/>
        <v>4526</v>
      </c>
      <c r="E32" s="190">
        <f t="shared" si="10"/>
        <v>3987</v>
      </c>
      <c r="F32" s="190">
        <f t="shared" si="11"/>
        <v>3235</v>
      </c>
      <c r="G32" s="190">
        <f t="shared" si="12"/>
        <v>1993</v>
      </c>
      <c r="H32" s="190">
        <f t="shared" si="13"/>
        <v>1259</v>
      </c>
      <c r="I32" s="190">
        <f t="shared" si="14"/>
        <v>844</v>
      </c>
      <c r="K32" s="186">
        <f>IF('INGRESO DE DATOS'!$W$19=1,'Tablas Guyanas y Santa Elena'!C29,'Tablas Resto de Ecuador'!C29)</f>
        <v>5239</v>
      </c>
      <c r="L32" s="186">
        <f>IF('INGRESO DE DATOS'!$W$19=1,'Tablas Guyanas y Santa Elena'!D29,'Tablas Resto de Ecuador'!D29)</f>
        <v>4526</v>
      </c>
      <c r="M32" s="186">
        <f>IF('INGRESO DE DATOS'!$W$19=1,'Tablas Guyanas y Santa Elena'!E29,'Tablas Resto de Ecuador'!E29)</f>
        <v>3987</v>
      </c>
      <c r="N32" s="186">
        <f>IF('INGRESO DE DATOS'!$W$19=1,'Tablas Guyanas y Santa Elena'!F29,'Tablas Resto de Ecuador'!F29)</f>
        <v>3235</v>
      </c>
      <c r="O32" s="186">
        <f>IF('INGRESO DE DATOS'!$W$19=1,'Tablas Guyanas y Santa Elena'!G29,'Tablas Resto de Ecuador'!G29)</f>
        <v>1993</v>
      </c>
      <c r="P32" s="186">
        <f>IF('INGRESO DE DATOS'!$W$19=1,'Tablas Guyanas y Santa Elena'!H29,'Tablas Resto de Ecuador'!H29)</f>
        <v>1259</v>
      </c>
      <c r="Q32" s="186">
        <f>IF('INGRESO DE DATOS'!$W$19=1,'Tablas Guyanas y Santa Elena'!I29,'Tablas Resto de Ecuador'!I29)</f>
        <v>844</v>
      </c>
      <c r="S32" s="188">
        <f t="shared" si="15"/>
        <v>5239</v>
      </c>
      <c r="T32" s="188">
        <f t="shared" si="16"/>
        <v>4526</v>
      </c>
      <c r="U32" s="188">
        <f t="shared" si="17"/>
        <v>3987</v>
      </c>
      <c r="V32" s="188">
        <f t="shared" si="18"/>
        <v>3235</v>
      </c>
      <c r="W32" s="188">
        <f t="shared" si="19"/>
        <v>1993</v>
      </c>
      <c r="X32" s="188">
        <f t="shared" si="20"/>
        <v>1259</v>
      </c>
      <c r="Y32" s="188">
        <f t="shared" si="21"/>
        <v>844</v>
      </c>
    </row>
    <row r="33" spans="1:25" ht="14" x14ac:dyDescent="0.2">
      <c r="A33" s="189">
        <v>42</v>
      </c>
      <c r="B33" s="187"/>
      <c r="C33" s="190">
        <f t="shared" si="8"/>
        <v>5398</v>
      </c>
      <c r="D33" s="190">
        <f t="shared" si="9"/>
        <v>4672</v>
      </c>
      <c r="E33" s="190">
        <f t="shared" si="10"/>
        <v>4113</v>
      </c>
      <c r="F33" s="190">
        <f t="shared" si="11"/>
        <v>3337</v>
      </c>
      <c r="G33" s="190">
        <f t="shared" si="12"/>
        <v>2100</v>
      </c>
      <c r="H33" s="190">
        <f t="shared" si="13"/>
        <v>1333</v>
      </c>
      <c r="I33" s="190">
        <f t="shared" si="14"/>
        <v>897</v>
      </c>
      <c r="K33" s="186">
        <f>IF('INGRESO DE DATOS'!$W$19=1,'Tablas Guyanas y Santa Elena'!C30,'Tablas Resto de Ecuador'!C30)</f>
        <v>5398</v>
      </c>
      <c r="L33" s="186">
        <f>IF('INGRESO DE DATOS'!$W$19=1,'Tablas Guyanas y Santa Elena'!D30,'Tablas Resto de Ecuador'!D30)</f>
        <v>4672</v>
      </c>
      <c r="M33" s="186">
        <f>IF('INGRESO DE DATOS'!$W$19=1,'Tablas Guyanas y Santa Elena'!E30,'Tablas Resto de Ecuador'!E30)</f>
        <v>4113</v>
      </c>
      <c r="N33" s="186">
        <f>IF('INGRESO DE DATOS'!$W$19=1,'Tablas Guyanas y Santa Elena'!F30,'Tablas Resto de Ecuador'!F30)</f>
        <v>3337</v>
      </c>
      <c r="O33" s="186">
        <f>IF('INGRESO DE DATOS'!$W$19=1,'Tablas Guyanas y Santa Elena'!G30,'Tablas Resto de Ecuador'!G30)</f>
        <v>2100</v>
      </c>
      <c r="P33" s="186">
        <f>IF('INGRESO DE DATOS'!$W$19=1,'Tablas Guyanas y Santa Elena'!H30,'Tablas Resto de Ecuador'!H30)</f>
        <v>1333</v>
      </c>
      <c r="Q33" s="186">
        <f>IF('INGRESO DE DATOS'!$W$19=1,'Tablas Guyanas y Santa Elena'!I30,'Tablas Resto de Ecuador'!I30)</f>
        <v>897</v>
      </c>
      <c r="S33" s="188">
        <f t="shared" si="15"/>
        <v>5398</v>
      </c>
      <c r="T33" s="188">
        <f t="shared" si="16"/>
        <v>4672</v>
      </c>
      <c r="U33" s="188">
        <f t="shared" si="17"/>
        <v>4113</v>
      </c>
      <c r="V33" s="188">
        <f t="shared" si="18"/>
        <v>3337</v>
      </c>
      <c r="W33" s="188">
        <f t="shared" si="19"/>
        <v>2100</v>
      </c>
      <c r="X33" s="188">
        <f t="shared" si="20"/>
        <v>1333</v>
      </c>
      <c r="Y33" s="188">
        <f t="shared" si="21"/>
        <v>897</v>
      </c>
    </row>
    <row r="34" spans="1:25" ht="14" x14ac:dyDescent="0.2">
      <c r="A34" s="189">
        <v>43</v>
      </c>
      <c r="B34" s="187"/>
      <c r="C34" s="190">
        <f t="shared" si="8"/>
        <v>5565</v>
      </c>
      <c r="D34" s="190">
        <f t="shared" si="9"/>
        <v>4829</v>
      </c>
      <c r="E34" s="190">
        <f t="shared" si="10"/>
        <v>4246</v>
      </c>
      <c r="F34" s="190">
        <f t="shared" si="11"/>
        <v>3448</v>
      </c>
      <c r="G34" s="190">
        <f t="shared" si="12"/>
        <v>2217</v>
      </c>
      <c r="H34" s="190">
        <f t="shared" si="13"/>
        <v>1414</v>
      </c>
      <c r="I34" s="190">
        <f t="shared" si="14"/>
        <v>959</v>
      </c>
      <c r="K34" s="186">
        <f>IF('INGRESO DE DATOS'!$W$19=1,'Tablas Guyanas y Santa Elena'!C31,'Tablas Resto de Ecuador'!C31)</f>
        <v>5565</v>
      </c>
      <c r="L34" s="186">
        <f>IF('INGRESO DE DATOS'!$W$19=1,'Tablas Guyanas y Santa Elena'!D31,'Tablas Resto de Ecuador'!D31)</f>
        <v>4829</v>
      </c>
      <c r="M34" s="186">
        <f>IF('INGRESO DE DATOS'!$W$19=1,'Tablas Guyanas y Santa Elena'!E31,'Tablas Resto de Ecuador'!E31)</f>
        <v>4246</v>
      </c>
      <c r="N34" s="186">
        <f>IF('INGRESO DE DATOS'!$W$19=1,'Tablas Guyanas y Santa Elena'!F31,'Tablas Resto de Ecuador'!F31)</f>
        <v>3448</v>
      </c>
      <c r="O34" s="186">
        <f>IF('INGRESO DE DATOS'!$W$19=1,'Tablas Guyanas y Santa Elena'!G31,'Tablas Resto de Ecuador'!G31)</f>
        <v>2217</v>
      </c>
      <c r="P34" s="186">
        <f>IF('INGRESO DE DATOS'!$W$19=1,'Tablas Guyanas y Santa Elena'!H31,'Tablas Resto de Ecuador'!H31)</f>
        <v>1414</v>
      </c>
      <c r="Q34" s="186">
        <f>IF('INGRESO DE DATOS'!$W$19=1,'Tablas Guyanas y Santa Elena'!I31,'Tablas Resto de Ecuador'!I31)</f>
        <v>959</v>
      </c>
      <c r="S34" s="188">
        <f t="shared" si="15"/>
        <v>5565</v>
      </c>
      <c r="T34" s="188">
        <f t="shared" si="16"/>
        <v>4829</v>
      </c>
      <c r="U34" s="188">
        <f t="shared" si="17"/>
        <v>4246</v>
      </c>
      <c r="V34" s="188">
        <f t="shared" si="18"/>
        <v>3448</v>
      </c>
      <c r="W34" s="188">
        <f t="shared" si="19"/>
        <v>2217</v>
      </c>
      <c r="X34" s="188">
        <f t="shared" si="20"/>
        <v>1414</v>
      </c>
      <c r="Y34" s="188">
        <f t="shared" si="21"/>
        <v>959</v>
      </c>
    </row>
    <row r="35" spans="1:25" ht="14" x14ac:dyDescent="0.2">
      <c r="A35" s="189">
        <v>44</v>
      </c>
      <c r="B35" s="187"/>
      <c r="C35" s="190">
        <f t="shared" si="8"/>
        <v>5740</v>
      </c>
      <c r="D35" s="190">
        <f t="shared" si="9"/>
        <v>4995</v>
      </c>
      <c r="E35" s="190">
        <f t="shared" si="10"/>
        <v>4387</v>
      </c>
      <c r="F35" s="190">
        <f t="shared" si="11"/>
        <v>3566</v>
      </c>
      <c r="G35" s="190">
        <f t="shared" si="12"/>
        <v>2344</v>
      </c>
      <c r="H35" s="190">
        <f t="shared" si="13"/>
        <v>1500</v>
      </c>
      <c r="I35" s="190">
        <f t="shared" si="14"/>
        <v>1020</v>
      </c>
      <c r="K35" s="186">
        <f>IF('INGRESO DE DATOS'!$W$19=1,'Tablas Guyanas y Santa Elena'!C32,'Tablas Resto de Ecuador'!C32)</f>
        <v>5740</v>
      </c>
      <c r="L35" s="186">
        <f>IF('INGRESO DE DATOS'!$W$19=1,'Tablas Guyanas y Santa Elena'!D32,'Tablas Resto de Ecuador'!D32)</f>
        <v>4995</v>
      </c>
      <c r="M35" s="186">
        <f>IF('INGRESO DE DATOS'!$W$19=1,'Tablas Guyanas y Santa Elena'!E32,'Tablas Resto de Ecuador'!E32)</f>
        <v>4387</v>
      </c>
      <c r="N35" s="186">
        <f>IF('INGRESO DE DATOS'!$W$19=1,'Tablas Guyanas y Santa Elena'!F32,'Tablas Resto de Ecuador'!F32)</f>
        <v>3566</v>
      </c>
      <c r="O35" s="186">
        <f>IF('INGRESO DE DATOS'!$W$19=1,'Tablas Guyanas y Santa Elena'!G32,'Tablas Resto de Ecuador'!G32)</f>
        <v>2344</v>
      </c>
      <c r="P35" s="186">
        <f>IF('INGRESO DE DATOS'!$W$19=1,'Tablas Guyanas y Santa Elena'!H32,'Tablas Resto de Ecuador'!H32)</f>
        <v>1500</v>
      </c>
      <c r="Q35" s="186">
        <f>IF('INGRESO DE DATOS'!$W$19=1,'Tablas Guyanas y Santa Elena'!I32,'Tablas Resto de Ecuador'!I32)</f>
        <v>1020</v>
      </c>
      <c r="S35" s="188">
        <f t="shared" si="15"/>
        <v>5740</v>
      </c>
      <c r="T35" s="188">
        <f t="shared" si="16"/>
        <v>4995</v>
      </c>
      <c r="U35" s="188">
        <f t="shared" si="17"/>
        <v>4387</v>
      </c>
      <c r="V35" s="188">
        <f t="shared" si="18"/>
        <v>3566</v>
      </c>
      <c r="W35" s="188">
        <f t="shared" si="19"/>
        <v>2344</v>
      </c>
      <c r="X35" s="188">
        <f t="shared" si="20"/>
        <v>1500</v>
      </c>
      <c r="Y35" s="188">
        <f t="shared" si="21"/>
        <v>1020</v>
      </c>
    </row>
    <row r="36" spans="1:25" ht="14" x14ac:dyDescent="0.2">
      <c r="A36" s="189">
        <v>45</v>
      </c>
      <c r="B36" s="187"/>
      <c r="C36" s="190">
        <f t="shared" si="8"/>
        <v>5920</v>
      </c>
      <c r="D36" s="190">
        <f t="shared" si="9"/>
        <v>5167</v>
      </c>
      <c r="E36" s="190">
        <f t="shared" si="10"/>
        <v>4531</v>
      </c>
      <c r="F36" s="190">
        <f t="shared" si="11"/>
        <v>3688</v>
      </c>
      <c r="G36" s="190">
        <f t="shared" si="12"/>
        <v>2481</v>
      </c>
      <c r="H36" s="190">
        <f t="shared" si="13"/>
        <v>1591</v>
      </c>
      <c r="I36" s="190">
        <f t="shared" si="14"/>
        <v>1090</v>
      </c>
      <c r="K36" s="186">
        <f>IF('INGRESO DE DATOS'!$W$19=1,'Tablas Guyanas y Santa Elena'!C33,'Tablas Resto de Ecuador'!C33)</f>
        <v>5920</v>
      </c>
      <c r="L36" s="186">
        <f>IF('INGRESO DE DATOS'!$W$19=1,'Tablas Guyanas y Santa Elena'!D33,'Tablas Resto de Ecuador'!D33)</f>
        <v>5167</v>
      </c>
      <c r="M36" s="186">
        <f>IF('INGRESO DE DATOS'!$W$19=1,'Tablas Guyanas y Santa Elena'!E33,'Tablas Resto de Ecuador'!E33)</f>
        <v>4531</v>
      </c>
      <c r="N36" s="186">
        <f>IF('INGRESO DE DATOS'!$W$19=1,'Tablas Guyanas y Santa Elena'!F33,'Tablas Resto de Ecuador'!F33)</f>
        <v>3688</v>
      </c>
      <c r="O36" s="186">
        <f>IF('INGRESO DE DATOS'!$W$19=1,'Tablas Guyanas y Santa Elena'!G33,'Tablas Resto de Ecuador'!G33)</f>
        <v>2481</v>
      </c>
      <c r="P36" s="186">
        <f>IF('INGRESO DE DATOS'!$W$19=1,'Tablas Guyanas y Santa Elena'!H33,'Tablas Resto de Ecuador'!H33)</f>
        <v>1591</v>
      </c>
      <c r="Q36" s="186">
        <f>IF('INGRESO DE DATOS'!$W$19=1,'Tablas Guyanas y Santa Elena'!I33,'Tablas Resto de Ecuador'!I33)</f>
        <v>1090</v>
      </c>
      <c r="S36" s="188">
        <f t="shared" si="15"/>
        <v>5920</v>
      </c>
      <c r="T36" s="188">
        <f t="shared" si="16"/>
        <v>5167</v>
      </c>
      <c r="U36" s="188">
        <f t="shared" si="17"/>
        <v>4531</v>
      </c>
      <c r="V36" s="188">
        <f t="shared" si="18"/>
        <v>3688</v>
      </c>
      <c r="W36" s="188">
        <f t="shared" si="19"/>
        <v>2481</v>
      </c>
      <c r="X36" s="188">
        <f t="shared" si="20"/>
        <v>1591</v>
      </c>
      <c r="Y36" s="188">
        <f t="shared" si="21"/>
        <v>1090</v>
      </c>
    </row>
    <row r="37" spans="1:25" ht="14" x14ac:dyDescent="0.2">
      <c r="A37" s="189">
        <v>46</v>
      </c>
      <c r="B37" s="187"/>
      <c r="C37" s="190">
        <f t="shared" si="8"/>
        <v>6099</v>
      </c>
      <c r="D37" s="190">
        <f t="shared" si="9"/>
        <v>5342</v>
      </c>
      <c r="E37" s="190">
        <f t="shared" si="10"/>
        <v>4675</v>
      </c>
      <c r="F37" s="190">
        <f t="shared" si="11"/>
        <v>3812</v>
      </c>
      <c r="G37" s="190">
        <f t="shared" si="12"/>
        <v>2629</v>
      </c>
      <c r="H37" s="190">
        <f t="shared" si="13"/>
        <v>1694</v>
      </c>
      <c r="I37" s="190">
        <f t="shared" si="14"/>
        <v>1167</v>
      </c>
      <c r="K37" s="186">
        <f>IF('INGRESO DE DATOS'!$W$19=1,'Tablas Guyanas y Santa Elena'!C34,'Tablas Resto de Ecuador'!C34)</f>
        <v>6099</v>
      </c>
      <c r="L37" s="186">
        <f>IF('INGRESO DE DATOS'!$W$19=1,'Tablas Guyanas y Santa Elena'!D34,'Tablas Resto de Ecuador'!D34)</f>
        <v>5342</v>
      </c>
      <c r="M37" s="186">
        <f>IF('INGRESO DE DATOS'!$W$19=1,'Tablas Guyanas y Santa Elena'!E34,'Tablas Resto de Ecuador'!E34)</f>
        <v>4675</v>
      </c>
      <c r="N37" s="186">
        <f>IF('INGRESO DE DATOS'!$W$19=1,'Tablas Guyanas y Santa Elena'!F34,'Tablas Resto de Ecuador'!F34)</f>
        <v>3812</v>
      </c>
      <c r="O37" s="186">
        <f>IF('INGRESO DE DATOS'!$W$19=1,'Tablas Guyanas y Santa Elena'!G34,'Tablas Resto de Ecuador'!G34)</f>
        <v>2629</v>
      </c>
      <c r="P37" s="186">
        <f>IF('INGRESO DE DATOS'!$W$19=1,'Tablas Guyanas y Santa Elena'!H34,'Tablas Resto de Ecuador'!H34)</f>
        <v>1694</v>
      </c>
      <c r="Q37" s="186">
        <f>IF('INGRESO DE DATOS'!$W$19=1,'Tablas Guyanas y Santa Elena'!I34,'Tablas Resto de Ecuador'!I34)</f>
        <v>1167</v>
      </c>
      <c r="S37" s="188">
        <f t="shared" si="15"/>
        <v>6099</v>
      </c>
      <c r="T37" s="188">
        <f t="shared" si="16"/>
        <v>5342</v>
      </c>
      <c r="U37" s="188">
        <f t="shared" si="17"/>
        <v>4675</v>
      </c>
      <c r="V37" s="188">
        <f t="shared" si="18"/>
        <v>3812</v>
      </c>
      <c r="W37" s="188">
        <f t="shared" si="19"/>
        <v>2629</v>
      </c>
      <c r="X37" s="188">
        <f t="shared" si="20"/>
        <v>1694</v>
      </c>
      <c r="Y37" s="188">
        <f t="shared" si="21"/>
        <v>1167</v>
      </c>
    </row>
    <row r="38" spans="1:25" ht="14" x14ac:dyDescent="0.2">
      <c r="A38" s="189">
        <v>47</v>
      </c>
      <c r="B38" s="187"/>
      <c r="C38" s="190">
        <f t="shared" si="8"/>
        <v>6275</v>
      </c>
      <c r="D38" s="190">
        <f t="shared" si="9"/>
        <v>5516</v>
      </c>
      <c r="E38" s="190">
        <f t="shared" si="10"/>
        <v>4817</v>
      </c>
      <c r="F38" s="190">
        <f t="shared" si="11"/>
        <v>3932</v>
      </c>
      <c r="G38" s="190">
        <f t="shared" si="12"/>
        <v>2789</v>
      </c>
      <c r="H38" s="190">
        <f t="shared" si="13"/>
        <v>1805</v>
      </c>
      <c r="I38" s="190">
        <f t="shared" si="14"/>
        <v>1247</v>
      </c>
      <c r="K38" s="186">
        <f>IF('INGRESO DE DATOS'!$W$19=1,'Tablas Guyanas y Santa Elena'!C35,'Tablas Resto de Ecuador'!C35)</f>
        <v>6275</v>
      </c>
      <c r="L38" s="186">
        <f>IF('INGRESO DE DATOS'!$W$19=1,'Tablas Guyanas y Santa Elena'!D35,'Tablas Resto de Ecuador'!D35)</f>
        <v>5516</v>
      </c>
      <c r="M38" s="186">
        <f>IF('INGRESO DE DATOS'!$W$19=1,'Tablas Guyanas y Santa Elena'!E35,'Tablas Resto de Ecuador'!E35)</f>
        <v>4817</v>
      </c>
      <c r="N38" s="186">
        <f>IF('INGRESO DE DATOS'!$W$19=1,'Tablas Guyanas y Santa Elena'!F35,'Tablas Resto de Ecuador'!F35)</f>
        <v>3932</v>
      </c>
      <c r="O38" s="186">
        <f>IF('INGRESO DE DATOS'!$W$19=1,'Tablas Guyanas y Santa Elena'!G35,'Tablas Resto de Ecuador'!G35)</f>
        <v>2789</v>
      </c>
      <c r="P38" s="186">
        <f>IF('INGRESO DE DATOS'!$W$19=1,'Tablas Guyanas y Santa Elena'!H35,'Tablas Resto de Ecuador'!H35)</f>
        <v>1805</v>
      </c>
      <c r="Q38" s="186">
        <f>IF('INGRESO DE DATOS'!$W$19=1,'Tablas Guyanas y Santa Elena'!I35,'Tablas Resto de Ecuador'!I35)</f>
        <v>1247</v>
      </c>
      <c r="S38" s="188">
        <f t="shared" si="15"/>
        <v>6275</v>
      </c>
      <c r="T38" s="188">
        <f t="shared" si="16"/>
        <v>5516</v>
      </c>
      <c r="U38" s="188">
        <f t="shared" si="17"/>
        <v>4817</v>
      </c>
      <c r="V38" s="188">
        <f t="shared" si="18"/>
        <v>3932</v>
      </c>
      <c r="W38" s="188">
        <f t="shared" si="19"/>
        <v>2789</v>
      </c>
      <c r="X38" s="188">
        <f t="shared" si="20"/>
        <v>1805</v>
      </c>
      <c r="Y38" s="188">
        <f t="shared" si="21"/>
        <v>1247</v>
      </c>
    </row>
    <row r="39" spans="1:25" ht="14" x14ac:dyDescent="0.2">
      <c r="A39" s="189">
        <v>48</v>
      </c>
      <c r="B39" s="187"/>
      <c r="C39" s="190">
        <f t="shared" si="8"/>
        <v>6444</v>
      </c>
      <c r="D39" s="190">
        <f t="shared" si="9"/>
        <v>5687</v>
      </c>
      <c r="E39" s="190">
        <f t="shared" si="10"/>
        <v>4954</v>
      </c>
      <c r="F39" s="190">
        <f t="shared" si="11"/>
        <v>4047</v>
      </c>
      <c r="G39" s="190">
        <f t="shared" si="12"/>
        <v>2963</v>
      </c>
      <c r="H39" s="190">
        <f t="shared" si="13"/>
        <v>1926</v>
      </c>
      <c r="I39" s="190">
        <f t="shared" si="14"/>
        <v>1336</v>
      </c>
      <c r="K39" s="186">
        <f>IF('INGRESO DE DATOS'!$W$19=1,'Tablas Guyanas y Santa Elena'!C36,'Tablas Resto de Ecuador'!C36)</f>
        <v>6444</v>
      </c>
      <c r="L39" s="186">
        <f>IF('INGRESO DE DATOS'!$W$19=1,'Tablas Guyanas y Santa Elena'!D36,'Tablas Resto de Ecuador'!D36)</f>
        <v>5687</v>
      </c>
      <c r="M39" s="186">
        <f>IF('INGRESO DE DATOS'!$W$19=1,'Tablas Guyanas y Santa Elena'!E36,'Tablas Resto de Ecuador'!E36)</f>
        <v>4954</v>
      </c>
      <c r="N39" s="186">
        <f>IF('INGRESO DE DATOS'!$W$19=1,'Tablas Guyanas y Santa Elena'!F36,'Tablas Resto de Ecuador'!F36)</f>
        <v>4047</v>
      </c>
      <c r="O39" s="186">
        <f>IF('INGRESO DE DATOS'!$W$19=1,'Tablas Guyanas y Santa Elena'!G36,'Tablas Resto de Ecuador'!G36)</f>
        <v>2963</v>
      </c>
      <c r="P39" s="186">
        <f>IF('INGRESO DE DATOS'!$W$19=1,'Tablas Guyanas y Santa Elena'!H36,'Tablas Resto de Ecuador'!H36)</f>
        <v>1926</v>
      </c>
      <c r="Q39" s="186">
        <f>IF('INGRESO DE DATOS'!$W$19=1,'Tablas Guyanas y Santa Elena'!I36,'Tablas Resto de Ecuador'!I36)</f>
        <v>1336</v>
      </c>
      <c r="S39" s="188">
        <f t="shared" si="15"/>
        <v>6444</v>
      </c>
      <c r="T39" s="188">
        <f t="shared" si="16"/>
        <v>5687</v>
      </c>
      <c r="U39" s="188">
        <f t="shared" si="17"/>
        <v>4954</v>
      </c>
      <c r="V39" s="188">
        <f t="shared" si="18"/>
        <v>4047</v>
      </c>
      <c r="W39" s="188">
        <f t="shared" si="19"/>
        <v>2963</v>
      </c>
      <c r="X39" s="188">
        <f t="shared" si="20"/>
        <v>1926</v>
      </c>
      <c r="Y39" s="188">
        <f t="shared" si="21"/>
        <v>1336</v>
      </c>
    </row>
    <row r="40" spans="1:25" ht="14" x14ac:dyDescent="0.2">
      <c r="A40" s="189">
        <v>49</v>
      </c>
      <c r="B40" s="187"/>
      <c r="C40" s="190">
        <f t="shared" si="8"/>
        <v>6620</v>
      </c>
      <c r="D40" s="190">
        <f t="shared" si="9"/>
        <v>5871</v>
      </c>
      <c r="E40" s="190">
        <f t="shared" si="10"/>
        <v>5105</v>
      </c>
      <c r="F40" s="190">
        <f t="shared" si="11"/>
        <v>4168</v>
      </c>
      <c r="G40" s="190">
        <f t="shared" si="12"/>
        <v>3151</v>
      </c>
      <c r="H40" s="190">
        <f t="shared" si="13"/>
        <v>2054</v>
      </c>
      <c r="I40" s="190">
        <f t="shared" si="14"/>
        <v>1434</v>
      </c>
      <c r="K40" s="186">
        <f>IF('INGRESO DE DATOS'!$W$19=1,'Tablas Guyanas y Santa Elena'!C37,'Tablas Resto de Ecuador'!C37)</f>
        <v>6620</v>
      </c>
      <c r="L40" s="186">
        <f>IF('INGRESO DE DATOS'!$W$19=1,'Tablas Guyanas y Santa Elena'!D37,'Tablas Resto de Ecuador'!D37)</f>
        <v>5871</v>
      </c>
      <c r="M40" s="186">
        <f>IF('INGRESO DE DATOS'!$W$19=1,'Tablas Guyanas y Santa Elena'!E37,'Tablas Resto de Ecuador'!E37)</f>
        <v>5105</v>
      </c>
      <c r="N40" s="186">
        <f>IF('INGRESO DE DATOS'!$W$19=1,'Tablas Guyanas y Santa Elena'!F37,'Tablas Resto de Ecuador'!F37)</f>
        <v>4168</v>
      </c>
      <c r="O40" s="186">
        <f>IF('INGRESO DE DATOS'!$W$19=1,'Tablas Guyanas y Santa Elena'!G37,'Tablas Resto de Ecuador'!G37)</f>
        <v>3151</v>
      </c>
      <c r="P40" s="186">
        <f>IF('INGRESO DE DATOS'!$W$19=1,'Tablas Guyanas y Santa Elena'!H37,'Tablas Resto de Ecuador'!H37)</f>
        <v>2054</v>
      </c>
      <c r="Q40" s="186">
        <f>IF('INGRESO DE DATOS'!$W$19=1,'Tablas Guyanas y Santa Elena'!I37,'Tablas Resto de Ecuador'!I37)</f>
        <v>1434</v>
      </c>
      <c r="S40" s="188">
        <f t="shared" si="15"/>
        <v>6620</v>
      </c>
      <c r="T40" s="188">
        <f t="shared" si="16"/>
        <v>5871</v>
      </c>
      <c r="U40" s="188">
        <f t="shared" si="17"/>
        <v>5105</v>
      </c>
      <c r="V40" s="188">
        <f t="shared" si="18"/>
        <v>4168</v>
      </c>
      <c r="W40" s="188">
        <f t="shared" si="19"/>
        <v>3151</v>
      </c>
      <c r="X40" s="188">
        <f t="shared" si="20"/>
        <v>2054</v>
      </c>
      <c r="Y40" s="188">
        <f t="shared" si="21"/>
        <v>1434</v>
      </c>
    </row>
    <row r="41" spans="1:25" ht="14" x14ac:dyDescent="0.2">
      <c r="A41" s="189">
        <v>50</v>
      </c>
      <c r="B41" s="187"/>
      <c r="C41" s="190">
        <f t="shared" si="8"/>
        <v>6834</v>
      </c>
      <c r="D41" s="190">
        <f t="shared" si="9"/>
        <v>6097</v>
      </c>
      <c r="E41" s="190">
        <f t="shared" si="10"/>
        <v>5301</v>
      </c>
      <c r="F41" s="190">
        <f t="shared" si="11"/>
        <v>4319</v>
      </c>
      <c r="G41" s="190">
        <f t="shared" si="12"/>
        <v>3370</v>
      </c>
      <c r="H41" s="190">
        <f t="shared" si="13"/>
        <v>2092</v>
      </c>
      <c r="I41" s="190">
        <f t="shared" si="14"/>
        <v>1547</v>
      </c>
      <c r="K41" s="186">
        <f>IF('INGRESO DE DATOS'!$W$19=1,'Tablas Guyanas y Santa Elena'!C38,'Tablas Resto de Ecuador'!C38)</f>
        <v>6834</v>
      </c>
      <c r="L41" s="186">
        <f>IF('INGRESO DE DATOS'!$W$19=1,'Tablas Guyanas y Santa Elena'!D38,'Tablas Resto de Ecuador'!D38)</f>
        <v>6097</v>
      </c>
      <c r="M41" s="186">
        <f>IF('INGRESO DE DATOS'!$W$19=1,'Tablas Guyanas y Santa Elena'!E38,'Tablas Resto de Ecuador'!E38)</f>
        <v>5301</v>
      </c>
      <c r="N41" s="186">
        <f>IF('INGRESO DE DATOS'!$W$19=1,'Tablas Guyanas y Santa Elena'!F38,'Tablas Resto de Ecuador'!F38)</f>
        <v>4319</v>
      </c>
      <c r="O41" s="186">
        <f>IF('INGRESO DE DATOS'!$W$19=1,'Tablas Guyanas y Santa Elena'!G38,'Tablas Resto de Ecuador'!G38)</f>
        <v>3370</v>
      </c>
      <c r="P41" s="186">
        <f>IF('INGRESO DE DATOS'!$W$19=1,'Tablas Guyanas y Santa Elena'!H38,'Tablas Resto de Ecuador'!H38)</f>
        <v>2092</v>
      </c>
      <c r="Q41" s="186">
        <f>IF('INGRESO DE DATOS'!$W$19=1,'Tablas Guyanas y Santa Elena'!I38,'Tablas Resto de Ecuador'!I38)</f>
        <v>1547</v>
      </c>
      <c r="S41" s="188">
        <f t="shared" si="15"/>
        <v>6834</v>
      </c>
      <c r="T41" s="188">
        <f t="shared" si="16"/>
        <v>6097</v>
      </c>
      <c r="U41" s="188">
        <f t="shared" si="17"/>
        <v>5301</v>
      </c>
      <c r="V41" s="188">
        <f t="shared" si="18"/>
        <v>4319</v>
      </c>
      <c r="W41" s="188">
        <f t="shared" si="19"/>
        <v>3370</v>
      </c>
      <c r="X41" s="188">
        <f t="shared" si="20"/>
        <v>2092</v>
      </c>
      <c r="Y41" s="188">
        <f t="shared" si="21"/>
        <v>1547</v>
      </c>
    </row>
    <row r="42" spans="1:25" ht="14" x14ac:dyDescent="0.2">
      <c r="A42" s="189">
        <v>51</v>
      </c>
      <c r="B42" s="187"/>
      <c r="C42" s="190">
        <f t="shared" si="8"/>
        <v>6993</v>
      </c>
      <c r="D42" s="190">
        <f t="shared" si="9"/>
        <v>6269</v>
      </c>
      <c r="E42" s="190">
        <f t="shared" si="10"/>
        <v>5432</v>
      </c>
      <c r="F42" s="190">
        <f t="shared" si="11"/>
        <v>4405</v>
      </c>
      <c r="G42" s="190">
        <f t="shared" si="12"/>
        <v>3516</v>
      </c>
      <c r="H42" s="190">
        <f t="shared" si="13"/>
        <v>2268</v>
      </c>
      <c r="I42" s="190">
        <f t="shared" si="14"/>
        <v>1685</v>
      </c>
      <c r="K42" s="186">
        <f>IF('INGRESO DE DATOS'!$W$19=1,'Tablas Guyanas y Santa Elena'!C39,'Tablas Resto de Ecuador'!C39)</f>
        <v>6993</v>
      </c>
      <c r="L42" s="186">
        <f>IF('INGRESO DE DATOS'!$W$19=1,'Tablas Guyanas y Santa Elena'!D39,'Tablas Resto de Ecuador'!D39)</f>
        <v>6269</v>
      </c>
      <c r="M42" s="186">
        <f>IF('INGRESO DE DATOS'!$W$19=1,'Tablas Guyanas y Santa Elena'!E39,'Tablas Resto de Ecuador'!E39)</f>
        <v>5432</v>
      </c>
      <c r="N42" s="186">
        <f>IF('INGRESO DE DATOS'!$W$19=1,'Tablas Guyanas y Santa Elena'!F39,'Tablas Resto de Ecuador'!F39)</f>
        <v>4405</v>
      </c>
      <c r="O42" s="186">
        <f>IF('INGRESO DE DATOS'!$W$19=1,'Tablas Guyanas y Santa Elena'!G39,'Tablas Resto de Ecuador'!G39)</f>
        <v>3516</v>
      </c>
      <c r="P42" s="186">
        <f>IF('INGRESO DE DATOS'!$W$19=1,'Tablas Guyanas y Santa Elena'!H39,'Tablas Resto de Ecuador'!H39)</f>
        <v>2268</v>
      </c>
      <c r="Q42" s="186">
        <f>IF('INGRESO DE DATOS'!$W$19=1,'Tablas Guyanas y Santa Elena'!I39,'Tablas Resto de Ecuador'!I39)</f>
        <v>1685</v>
      </c>
      <c r="S42" s="188">
        <f t="shared" si="15"/>
        <v>6993</v>
      </c>
      <c r="T42" s="188">
        <f t="shared" si="16"/>
        <v>6269</v>
      </c>
      <c r="U42" s="188">
        <f t="shared" si="17"/>
        <v>5432</v>
      </c>
      <c r="V42" s="188">
        <f t="shared" si="18"/>
        <v>4405</v>
      </c>
      <c r="W42" s="188">
        <f t="shared" si="19"/>
        <v>3516</v>
      </c>
      <c r="X42" s="188">
        <f t="shared" si="20"/>
        <v>2268</v>
      </c>
      <c r="Y42" s="188">
        <f t="shared" si="21"/>
        <v>1685</v>
      </c>
    </row>
    <row r="43" spans="1:25" ht="14" x14ac:dyDescent="0.2">
      <c r="A43" s="189">
        <v>52</v>
      </c>
      <c r="B43" s="187"/>
      <c r="C43" s="190">
        <f t="shared" si="8"/>
        <v>7158</v>
      </c>
      <c r="D43" s="190">
        <f t="shared" si="9"/>
        <v>6438</v>
      </c>
      <c r="E43" s="190">
        <f t="shared" si="10"/>
        <v>5555</v>
      </c>
      <c r="F43" s="190">
        <f t="shared" si="11"/>
        <v>4483</v>
      </c>
      <c r="G43" s="190">
        <f t="shared" si="12"/>
        <v>3519</v>
      </c>
      <c r="H43" s="190">
        <f t="shared" si="13"/>
        <v>2456</v>
      </c>
      <c r="I43" s="190">
        <f t="shared" si="14"/>
        <v>1831</v>
      </c>
      <c r="K43" s="186">
        <f>IF('INGRESO DE DATOS'!$W$19=1,'Tablas Guyanas y Santa Elena'!C40,'Tablas Resto de Ecuador'!C40)</f>
        <v>7158</v>
      </c>
      <c r="L43" s="186">
        <f>IF('INGRESO DE DATOS'!$W$19=1,'Tablas Guyanas y Santa Elena'!D40,'Tablas Resto de Ecuador'!D40)</f>
        <v>6438</v>
      </c>
      <c r="M43" s="186">
        <f>IF('INGRESO DE DATOS'!$W$19=1,'Tablas Guyanas y Santa Elena'!E40,'Tablas Resto de Ecuador'!E40)</f>
        <v>5555</v>
      </c>
      <c r="N43" s="186">
        <f>IF('INGRESO DE DATOS'!$W$19=1,'Tablas Guyanas y Santa Elena'!F40,'Tablas Resto de Ecuador'!F40)</f>
        <v>4483</v>
      </c>
      <c r="O43" s="186">
        <f>IF('INGRESO DE DATOS'!$W$19=1,'Tablas Guyanas y Santa Elena'!G40,'Tablas Resto de Ecuador'!G40)</f>
        <v>3519</v>
      </c>
      <c r="P43" s="186">
        <f>IF('INGRESO DE DATOS'!$W$19=1,'Tablas Guyanas y Santa Elena'!H40,'Tablas Resto de Ecuador'!H40)</f>
        <v>2456</v>
      </c>
      <c r="Q43" s="186">
        <f>IF('INGRESO DE DATOS'!$W$19=1,'Tablas Guyanas y Santa Elena'!I40,'Tablas Resto de Ecuador'!I40)</f>
        <v>1831</v>
      </c>
      <c r="S43" s="188">
        <f t="shared" si="15"/>
        <v>7158</v>
      </c>
      <c r="T43" s="188">
        <f t="shared" si="16"/>
        <v>6438</v>
      </c>
      <c r="U43" s="188">
        <f t="shared" si="17"/>
        <v>5555</v>
      </c>
      <c r="V43" s="188">
        <f t="shared" si="18"/>
        <v>4483</v>
      </c>
      <c r="W43" s="188">
        <f t="shared" si="19"/>
        <v>3519</v>
      </c>
      <c r="X43" s="188">
        <f t="shared" si="20"/>
        <v>2456</v>
      </c>
      <c r="Y43" s="188">
        <f t="shared" si="21"/>
        <v>1831</v>
      </c>
    </row>
    <row r="44" spans="1:25" ht="14" x14ac:dyDescent="0.2">
      <c r="A44" s="189">
        <v>53</v>
      </c>
      <c r="B44" s="187"/>
      <c r="C44" s="190">
        <f t="shared" si="8"/>
        <v>7395</v>
      </c>
      <c r="D44" s="190">
        <f t="shared" si="9"/>
        <v>6674</v>
      </c>
      <c r="E44" s="190">
        <f t="shared" si="10"/>
        <v>5745</v>
      </c>
      <c r="F44" s="190">
        <f t="shared" si="11"/>
        <v>4625</v>
      </c>
      <c r="G44" s="190">
        <f t="shared" si="12"/>
        <v>3565</v>
      </c>
      <c r="H44" s="190">
        <f t="shared" si="13"/>
        <v>2559</v>
      </c>
      <c r="I44" s="190">
        <f t="shared" si="14"/>
        <v>1993</v>
      </c>
      <c r="K44" s="186">
        <f>IF('INGRESO DE DATOS'!$W$19=1,'Tablas Guyanas y Santa Elena'!C41,'Tablas Resto de Ecuador'!C41)</f>
        <v>7395</v>
      </c>
      <c r="L44" s="186">
        <f>IF('INGRESO DE DATOS'!$W$19=1,'Tablas Guyanas y Santa Elena'!D41,'Tablas Resto de Ecuador'!D41)</f>
        <v>6674</v>
      </c>
      <c r="M44" s="186">
        <f>IF('INGRESO DE DATOS'!$W$19=1,'Tablas Guyanas y Santa Elena'!E41,'Tablas Resto de Ecuador'!E41)</f>
        <v>5745</v>
      </c>
      <c r="N44" s="186">
        <f>IF('INGRESO DE DATOS'!$W$19=1,'Tablas Guyanas y Santa Elena'!F41,'Tablas Resto de Ecuador'!F41)</f>
        <v>4625</v>
      </c>
      <c r="O44" s="186">
        <f>IF('INGRESO DE DATOS'!$W$19=1,'Tablas Guyanas y Santa Elena'!G41,'Tablas Resto de Ecuador'!G41)</f>
        <v>3565</v>
      </c>
      <c r="P44" s="186">
        <f>IF('INGRESO DE DATOS'!$W$19=1,'Tablas Guyanas y Santa Elena'!H41,'Tablas Resto de Ecuador'!H41)</f>
        <v>2559</v>
      </c>
      <c r="Q44" s="186">
        <f>IF('INGRESO DE DATOS'!$W$19=1,'Tablas Guyanas y Santa Elena'!I41,'Tablas Resto de Ecuador'!I41)</f>
        <v>1993</v>
      </c>
      <c r="S44" s="188">
        <f t="shared" si="15"/>
        <v>7395</v>
      </c>
      <c r="T44" s="188">
        <f t="shared" si="16"/>
        <v>6674</v>
      </c>
      <c r="U44" s="188">
        <f t="shared" si="17"/>
        <v>5745</v>
      </c>
      <c r="V44" s="188">
        <f t="shared" si="18"/>
        <v>4625</v>
      </c>
      <c r="W44" s="188">
        <f t="shared" si="19"/>
        <v>3565</v>
      </c>
      <c r="X44" s="188">
        <f t="shared" si="20"/>
        <v>2559</v>
      </c>
      <c r="Y44" s="188">
        <f t="shared" si="21"/>
        <v>1993</v>
      </c>
    </row>
    <row r="45" spans="1:25" ht="14" x14ac:dyDescent="0.2">
      <c r="A45" s="189">
        <v>54</v>
      </c>
      <c r="B45" s="187"/>
      <c r="C45" s="190">
        <f t="shared" si="8"/>
        <v>7733</v>
      </c>
      <c r="D45" s="190">
        <f t="shared" si="9"/>
        <v>7007</v>
      </c>
      <c r="E45" s="190">
        <f t="shared" si="10"/>
        <v>6035</v>
      </c>
      <c r="F45" s="190">
        <f t="shared" si="11"/>
        <v>4864</v>
      </c>
      <c r="G45" s="190">
        <f t="shared" si="12"/>
        <v>3694</v>
      </c>
      <c r="H45" s="190">
        <f t="shared" si="13"/>
        <v>2767</v>
      </c>
      <c r="I45" s="190">
        <f t="shared" si="14"/>
        <v>2163</v>
      </c>
      <c r="K45" s="186">
        <f>IF('INGRESO DE DATOS'!$W$19=1,'Tablas Guyanas y Santa Elena'!C42,'Tablas Resto de Ecuador'!C42)</f>
        <v>7733</v>
      </c>
      <c r="L45" s="186">
        <f>IF('INGRESO DE DATOS'!$W$19=1,'Tablas Guyanas y Santa Elena'!D42,'Tablas Resto de Ecuador'!D42)</f>
        <v>7007</v>
      </c>
      <c r="M45" s="186">
        <f>IF('INGRESO DE DATOS'!$W$19=1,'Tablas Guyanas y Santa Elena'!E42,'Tablas Resto de Ecuador'!E42)</f>
        <v>6035</v>
      </c>
      <c r="N45" s="186">
        <f>IF('INGRESO DE DATOS'!$W$19=1,'Tablas Guyanas y Santa Elena'!F42,'Tablas Resto de Ecuador'!F42)</f>
        <v>4864</v>
      </c>
      <c r="O45" s="186">
        <f>IF('INGRESO DE DATOS'!$W$19=1,'Tablas Guyanas y Santa Elena'!G42,'Tablas Resto de Ecuador'!G42)</f>
        <v>3694</v>
      </c>
      <c r="P45" s="186">
        <f>IF('INGRESO DE DATOS'!$W$19=1,'Tablas Guyanas y Santa Elena'!H42,'Tablas Resto de Ecuador'!H42)</f>
        <v>2767</v>
      </c>
      <c r="Q45" s="186">
        <f>IF('INGRESO DE DATOS'!$W$19=1,'Tablas Guyanas y Santa Elena'!I42,'Tablas Resto de Ecuador'!I42)</f>
        <v>2163</v>
      </c>
      <c r="S45" s="188">
        <f t="shared" si="15"/>
        <v>7733</v>
      </c>
      <c r="T45" s="188">
        <f t="shared" si="16"/>
        <v>7007</v>
      </c>
      <c r="U45" s="188">
        <f t="shared" si="17"/>
        <v>6035</v>
      </c>
      <c r="V45" s="188">
        <f t="shared" si="18"/>
        <v>4864</v>
      </c>
      <c r="W45" s="188">
        <f t="shared" si="19"/>
        <v>3694</v>
      </c>
      <c r="X45" s="188">
        <f t="shared" si="20"/>
        <v>2767</v>
      </c>
      <c r="Y45" s="188">
        <f t="shared" si="21"/>
        <v>2163</v>
      </c>
    </row>
    <row r="46" spans="1:25" ht="14" x14ac:dyDescent="0.2">
      <c r="A46" s="189">
        <v>55</v>
      </c>
      <c r="B46" s="187"/>
      <c r="C46" s="190">
        <f t="shared" si="8"/>
        <v>8170</v>
      </c>
      <c r="D46" s="190">
        <f t="shared" si="9"/>
        <v>7439</v>
      </c>
      <c r="E46" s="190">
        <f t="shared" si="10"/>
        <v>6427</v>
      </c>
      <c r="F46" s="190">
        <f t="shared" si="11"/>
        <v>5202</v>
      </c>
      <c r="G46" s="190">
        <f t="shared" si="12"/>
        <v>3897</v>
      </c>
      <c r="H46" s="190">
        <f t="shared" si="13"/>
        <v>2989</v>
      </c>
      <c r="I46" s="190">
        <f t="shared" si="14"/>
        <v>2348</v>
      </c>
      <c r="K46" s="186">
        <f>IF('INGRESO DE DATOS'!$W$19=1,'Tablas Guyanas y Santa Elena'!C43,'Tablas Resto de Ecuador'!C43)</f>
        <v>8170</v>
      </c>
      <c r="L46" s="186">
        <f>IF('INGRESO DE DATOS'!$W$19=1,'Tablas Guyanas y Santa Elena'!D43,'Tablas Resto de Ecuador'!D43)</f>
        <v>7439</v>
      </c>
      <c r="M46" s="186">
        <f>IF('INGRESO DE DATOS'!$W$19=1,'Tablas Guyanas y Santa Elena'!E43,'Tablas Resto de Ecuador'!E43)</f>
        <v>6427</v>
      </c>
      <c r="N46" s="186">
        <f>IF('INGRESO DE DATOS'!$W$19=1,'Tablas Guyanas y Santa Elena'!F43,'Tablas Resto de Ecuador'!F43)</f>
        <v>5202</v>
      </c>
      <c r="O46" s="186">
        <f>IF('INGRESO DE DATOS'!$W$19=1,'Tablas Guyanas y Santa Elena'!G43,'Tablas Resto de Ecuador'!G43)</f>
        <v>3897</v>
      </c>
      <c r="P46" s="186">
        <f>IF('INGRESO DE DATOS'!$W$19=1,'Tablas Guyanas y Santa Elena'!H43,'Tablas Resto de Ecuador'!H43)</f>
        <v>2989</v>
      </c>
      <c r="Q46" s="186">
        <f>IF('INGRESO DE DATOS'!$W$19=1,'Tablas Guyanas y Santa Elena'!I43,'Tablas Resto de Ecuador'!I43)</f>
        <v>2348</v>
      </c>
      <c r="S46" s="188">
        <f t="shared" si="15"/>
        <v>8170</v>
      </c>
      <c r="T46" s="188">
        <f t="shared" si="16"/>
        <v>7439</v>
      </c>
      <c r="U46" s="188">
        <f t="shared" si="17"/>
        <v>6427</v>
      </c>
      <c r="V46" s="188">
        <f t="shared" si="18"/>
        <v>5202</v>
      </c>
      <c r="W46" s="188">
        <f t="shared" si="19"/>
        <v>3897</v>
      </c>
      <c r="X46" s="188">
        <f t="shared" si="20"/>
        <v>2989</v>
      </c>
      <c r="Y46" s="188">
        <f t="shared" si="21"/>
        <v>2348</v>
      </c>
    </row>
    <row r="47" spans="1:25" ht="14" x14ac:dyDescent="0.2">
      <c r="A47" s="189">
        <v>56</v>
      </c>
      <c r="B47" s="187"/>
      <c r="C47" s="190">
        <f t="shared" si="8"/>
        <v>8696</v>
      </c>
      <c r="D47" s="190">
        <f t="shared" si="9"/>
        <v>7810</v>
      </c>
      <c r="E47" s="190">
        <f t="shared" si="10"/>
        <v>6911</v>
      </c>
      <c r="F47" s="190">
        <f t="shared" si="11"/>
        <v>5629</v>
      </c>
      <c r="G47" s="190">
        <f t="shared" si="12"/>
        <v>4008</v>
      </c>
      <c r="H47" s="190">
        <f t="shared" si="13"/>
        <v>3108</v>
      </c>
      <c r="I47" s="190">
        <f t="shared" si="14"/>
        <v>2547</v>
      </c>
      <c r="K47" s="186">
        <f>IF('INGRESO DE DATOS'!$W$19=1,'Tablas Guyanas y Santa Elena'!C44,'Tablas Resto de Ecuador'!C44)</f>
        <v>8696</v>
      </c>
      <c r="L47" s="186">
        <f>IF('INGRESO DE DATOS'!$W$19=1,'Tablas Guyanas y Santa Elena'!D44,'Tablas Resto de Ecuador'!D44)</f>
        <v>7810</v>
      </c>
      <c r="M47" s="186">
        <f>IF('INGRESO DE DATOS'!$W$19=1,'Tablas Guyanas y Santa Elena'!E44,'Tablas Resto de Ecuador'!E44)</f>
        <v>6911</v>
      </c>
      <c r="N47" s="186">
        <f>IF('INGRESO DE DATOS'!$W$19=1,'Tablas Guyanas y Santa Elena'!F44,'Tablas Resto de Ecuador'!F44)</f>
        <v>5629</v>
      </c>
      <c r="O47" s="186">
        <f>IF('INGRESO DE DATOS'!$W$19=1,'Tablas Guyanas y Santa Elena'!G44,'Tablas Resto de Ecuador'!G44)</f>
        <v>4008</v>
      </c>
      <c r="P47" s="186">
        <f>IF('INGRESO DE DATOS'!$W$19=1,'Tablas Guyanas y Santa Elena'!H44,'Tablas Resto de Ecuador'!H44)</f>
        <v>3108</v>
      </c>
      <c r="Q47" s="186">
        <f>IF('INGRESO DE DATOS'!$W$19=1,'Tablas Guyanas y Santa Elena'!I44,'Tablas Resto de Ecuador'!I44)</f>
        <v>2547</v>
      </c>
      <c r="S47" s="188">
        <f t="shared" si="15"/>
        <v>8696</v>
      </c>
      <c r="T47" s="188">
        <f t="shared" si="16"/>
        <v>7810</v>
      </c>
      <c r="U47" s="188">
        <f t="shared" si="17"/>
        <v>6911</v>
      </c>
      <c r="V47" s="188">
        <f t="shared" si="18"/>
        <v>5629</v>
      </c>
      <c r="W47" s="188">
        <f t="shared" si="19"/>
        <v>4008</v>
      </c>
      <c r="X47" s="188">
        <f t="shared" si="20"/>
        <v>3108</v>
      </c>
      <c r="Y47" s="188">
        <f t="shared" si="21"/>
        <v>2547</v>
      </c>
    </row>
    <row r="48" spans="1:25" ht="14" x14ac:dyDescent="0.2">
      <c r="A48" s="189">
        <v>57</v>
      </c>
      <c r="B48" s="187"/>
      <c r="C48" s="190">
        <f t="shared" si="8"/>
        <v>9252</v>
      </c>
      <c r="D48" s="190">
        <f t="shared" si="9"/>
        <v>8051</v>
      </c>
      <c r="E48" s="190">
        <f t="shared" si="10"/>
        <v>7469</v>
      </c>
      <c r="F48" s="190">
        <f t="shared" si="11"/>
        <v>6139</v>
      </c>
      <c r="G48" s="190">
        <f t="shared" si="12"/>
        <v>4168</v>
      </c>
      <c r="H48" s="190">
        <f t="shared" si="13"/>
        <v>3357</v>
      </c>
      <c r="I48" s="190">
        <f t="shared" si="14"/>
        <v>2761</v>
      </c>
      <c r="K48" s="186">
        <f>IF('INGRESO DE DATOS'!$W$19=1,'Tablas Guyanas y Santa Elena'!C45,'Tablas Resto de Ecuador'!C45)</f>
        <v>9252</v>
      </c>
      <c r="L48" s="186">
        <f>IF('INGRESO DE DATOS'!$W$19=1,'Tablas Guyanas y Santa Elena'!D45,'Tablas Resto de Ecuador'!D45)</f>
        <v>8051</v>
      </c>
      <c r="M48" s="186">
        <f>IF('INGRESO DE DATOS'!$W$19=1,'Tablas Guyanas y Santa Elena'!E45,'Tablas Resto de Ecuador'!E45)</f>
        <v>7469</v>
      </c>
      <c r="N48" s="186">
        <f>IF('INGRESO DE DATOS'!$W$19=1,'Tablas Guyanas y Santa Elena'!F45,'Tablas Resto de Ecuador'!F45)</f>
        <v>6139</v>
      </c>
      <c r="O48" s="186">
        <f>IF('INGRESO DE DATOS'!$W$19=1,'Tablas Guyanas y Santa Elena'!G45,'Tablas Resto de Ecuador'!G45)</f>
        <v>4168</v>
      </c>
      <c r="P48" s="186">
        <f>IF('INGRESO DE DATOS'!$W$19=1,'Tablas Guyanas y Santa Elena'!H45,'Tablas Resto de Ecuador'!H45)</f>
        <v>3357</v>
      </c>
      <c r="Q48" s="186">
        <f>IF('INGRESO DE DATOS'!$W$19=1,'Tablas Guyanas y Santa Elena'!I45,'Tablas Resto de Ecuador'!I45)</f>
        <v>2761</v>
      </c>
      <c r="S48" s="188">
        <f t="shared" si="15"/>
        <v>9252</v>
      </c>
      <c r="T48" s="188">
        <f t="shared" si="16"/>
        <v>8051</v>
      </c>
      <c r="U48" s="188">
        <f t="shared" si="17"/>
        <v>7469</v>
      </c>
      <c r="V48" s="188">
        <f t="shared" si="18"/>
        <v>6139</v>
      </c>
      <c r="W48" s="188">
        <f t="shared" si="19"/>
        <v>4168</v>
      </c>
      <c r="X48" s="188">
        <f t="shared" si="20"/>
        <v>3357</v>
      </c>
      <c r="Y48" s="188">
        <f t="shared" si="21"/>
        <v>2761</v>
      </c>
    </row>
    <row r="49" spans="1:25" ht="14" x14ac:dyDescent="0.2">
      <c r="A49" s="189">
        <v>58</v>
      </c>
      <c r="B49" s="187"/>
      <c r="C49" s="190">
        <f t="shared" si="8"/>
        <v>9574</v>
      </c>
      <c r="D49" s="190">
        <f t="shared" si="9"/>
        <v>8326</v>
      </c>
      <c r="E49" s="190">
        <f t="shared" si="10"/>
        <v>7703</v>
      </c>
      <c r="F49" s="190">
        <f t="shared" si="11"/>
        <v>6725</v>
      </c>
      <c r="G49" s="190">
        <f t="shared" si="12"/>
        <v>4402</v>
      </c>
      <c r="H49" s="190">
        <f t="shared" si="13"/>
        <v>3625</v>
      </c>
      <c r="I49" s="190">
        <f t="shared" si="14"/>
        <v>2989</v>
      </c>
      <c r="K49" s="186">
        <f>IF('INGRESO DE DATOS'!$W$19=1,'Tablas Guyanas y Santa Elena'!C46,'Tablas Resto de Ecuador'!C46)</f>
        <v>9574</v>
      </c>
      <c r="L49" s="186">
        <f>IF('INGRESO DE DATOS'!$W$19=1,'Tablas Guyanas y Santa Elena'!D46,'Tablas Resto de Ecuador'!D46)</f>
        <v>8326</v>
      </c>
      <c r="M49" s="186">
        <f>IF('INGRESO DE DATOS'!$W$19=1,'Tablas Guyanas y Santa Elena'!E46,'Tablas Resto de Ecuador'!E46)</f>
        <v>7703</v>
      </c>
      <c r="N49" s="186">
        <f>IF('INGRESO DE DATOS'!$W$19=1,'Tablas Guyanas y Santa Elena'!F46,'Tablas Resto de Ecuador'!F46)</f>
        <v>6725</v>
      </c>
      <c r="O49" s="186">
        <f>IF('INGRESO DE DATOS'!$W$19=1,'Tablas Guyanas y Santa Elena'!G46,'Tablas Resto de Ecuador'!G46)</f>
        <v>4402</v>
      </c>
      <c r="P49" s="186">
        <f>IF('INGRESO DE DATOS'!$W$19=1,'Tablas Guyanas y Santa Elena'!H46,'Tablas Resto de Ecuador'!H46)</f>
        <v>3625</v>
      </c>
      <c r="Q49" s="186">
        <f>IF('INGRESO DE DATOS'!$W$19=1,'Tablas Guyanas y Santa Elena'!I46,'Tablas Resto de Ecuador'!I46)</f>
        <v>2989</v>
      </c>
      <c r="S49" s="188">
        <f t="shared" si="15"/>
        <v>9574</v>
      </c>
      <c r="T49" s="188">
        <f t="shared" si="16"/>
        <v>8326</v>
      </c>
      <c r="U49" s="188">
        <f t="shared" si="17"/>
        <v>7703</v>
      </c>
      <c r="V49" s="188">
        <f t="shared" si="18"/>
        <v>6725</v>
      </c>
      <c r="W49" s="188">
        <f t="shared" si="19"/>
        <v>4402</v>
      </c>
      <c r="X49" s="188">
        <f t="shared" si="20"/>
        <v>3625</v>
      </c>
      <c r="Y49" s="188">
        <f t="shared" si="21"/>
        <v>2989</v>
      </c>
    </row>
    <row r="50" spans="1:25" ht="14" x14ac:dyDescent="0.2">
      <c r="A50" s="189">
        <v>59</v>
      </c>
      <c r="B50" s="187"/>
      <c r="C50" s="190">
        <f t="shared" si="8"/>
        <v>9897</v>
      </c>
      <c r="D50" s="190">
        <f t="shared" si="9"/>
        <v>8607</v>
      </c>
      <c r="E50" s="190">
        <f t="shared" si="10"/>
        <v>7937</v>
      </c>
      <c r="F50" s="190">
        <f t="shared" si="11"/>
        <v>7185</v>
      </c>
      <c r="G50" s="190">
        <f t="shared" si="12"/>
        <v>4709</v>
      </c>
      <c r="H50" s="190">
        <f t="shared" si="13"/>
        <v>3757</v>
      </c>
      <c r="I50" s="190">
        <f t="shared" si="14"/>
        <v>3238</v>
      </c>
      <c r="K50" s="186">
        <f>IF('INGRESO DE DATOS'!$W$19=1,'Tablas Guyanas y Santa Elena'!C47,'Tablas Resto de Ecuador'!C47)</f>
        <v>9897</v>
      </c>
      <c r="L50" s="186">
        <f>IF('INGRESO DE DATOS'!$W$19=1,'Tablas Guyanas y Santa Elena'!D47,'Tablas Resto de Ecuador'!D47)</f>
        <v>8607</v>
      </c>
      <c r="M50" s="186">
        <f>IF('INGRESO DE DATOS'!$W$19=1,'Tablas Guyanas y Santa Elena'!E47,'Tablas Resto de Ecuador'!E47)</f>
        <v>7937</v>
      </c>
      <c r="N50" s="186">
        <f>IF('INGRESO DE DATOS'!$W$19=1,'Tablas Guyanas y Santa Elena'!F47,'Tablas Resto de Ecuador'!F47)</f>
        <v>7185</v>
      </c>
      <c r="O50" s="186">
        <f>IF('INGRESO DE DATOS'!$W$19=1,'Tablas Guyanas y Santa Elena'!G47,'Tablas Resto de Ecuador'!G47)</f>
        <v>4709</v>
      </c>
      <c r="P50" s="186">
        <f>IF('INGRESO DE DATOS'!$W$19=1,'Tablas Guyanas y Santa Elena'!H47,'Tablas Resto de Ecuador'!H47)</f>
        <v>3757</v>
      </c>
      <c r="Q50" s="186">
        <f>IF('INGRESO DE DATOS'!$W$19=1,'Tablas Guyanas y Santa Elena'!I47,'Tablas Resto de Ecuador'!I47)</f>
        <v>3238</v>
      </c>
      <c r="S50" s="188">
        <f t="shared" si="15"/>
        <v>9897</v>
      </c>
      <c r="T50" s="188">
        <f t="shared" si="16"/>
        <v>8607</v>
      </c>
      <c r="U50" s="188">
        <f t="shared" si="17"/>
        <v>7937</v>
      </c>
      <c r="V50" s="188">
        <f t="shared" si="18"/>
        <v>7185</v>
      </c>
      <c r="W50" s="188">
        <f t="shared" si="19"/>
        <v>4709</v>
      </c>
      <c r="X50" s="188">
        <f t="shared" si="20"/>
        <v>3757</v>
      </c>
      <c r="Y50" s="188">
        <f t="shared" si="21"/>
        <v>3238</v>
      </c>
    </row>
    <row r="51" spans="1:25" ht="14" x14ac:dyDescent="0.2">
      <c r="A51" s="189">
        <v>60</v>
      </c>
      <c r="B51" s="187"/>
      <c r="C51" s="190">
        <f t="shared" si="8"/>
        <v>10215</v>
      </c>
      <c r="D51" s="190">
        <f t="shared" si="9"/>
        <v>8880</v>
      </c>
      <c r="E51" s="190">
        <f t="shared" si="10"/>
        <v>8171</v>
      </c>
      <c r="F51" s="190">
        <f t="shared" si="11"/>
        <v>7464</v>
      </c>
      <c r="G51" s="190">
        <f t="shared" si="12"/>
        <v>5049</v>
      </c>
      <c r="H51" s="190">
        <f t="shared" si="13"/>
        <v>4024</v>
      </c>
      <c r="I51" s="190">
        <f t="shared" si="14"/>
        <v>3504</v>
      </c>
      <c r="K51" s="186">
        <f>IF('INGRESO DE DATOS'!$W$19=1,'Tablas Guyanas y Santa Elena'!C48,'Tablas Resto de Ecuador'!C48)</f>
        <v>10215</v>
      </c>
      <c r="L51" s="186">
        <f>IF('INGRESO DE DATOS'!$W$19=1,'Tablas Guyanas y Santa Elena'!D48,'Tablas Resto de Ecuador'!D48)</f>
        <v>8880</v>
      </c>
      <c r="M51" s="186">
        <f>IF('INGRESO DE DATOS'!$W$19=1,'Tablas Guyanas y Santa Elena'!E48,'Tablas Resto de Ecuador'!E48)</f>
        <v>8171</v>
      </c>
      <c r="N51" s="186">
        <f>IF('INGRESO DE DATOS'!$W$19=1,'Tablas Guyanas y Santa Elena'!F48,'Tablas Resto de Ecuador'!F48)</f>
        <v>7464</v>
      </c>
      <c r="O51" s="186">
        <f>IF('INGRESO DE DATOS'!$W$19=1,'Tablas Guyanas y Santa Elena'!G48,'Tablas Resto de Ecuador'!G48)</f>
        <v>5049</v>
      </c>
      <c r="P51" s="186">
        <f>IF('INGRESO DE DATOS'!$W$19=1,'Tablas Guyanas y Santa Elena'!H48,'Tablas Resto de Ecuador'!H48)</f>
        <v>4024</v>
      </c>
      <c r="Q51" s="186">
        <f>IF('INGRESO DE DATOS'!$W$19=1,'Tablas Guyanas y Santa Elena'!I48,'Tablas Resto de Ecuador'!I48)</f>
        <v>3504</v>
      </c>
      <c r="S51" s="188">
        <f t="shared" si="15"/>
        <v>10215</v>
      </c>
      <c r="T51" s="188">
        <f t="shared" si="16"/>
        <v>8880</v>
      </c>
      <c r="U51" s="188">
        <f t="shared" si="17"/>
        <v>8171</v>
      </c>
      <c r="V51" s="188">
        <f t="shared" si="18"/>
        <v>7464</v>
      </c>
      <c r="W51" s="188">
        <f t="shared" si="19"/>
        <v>5049</v>
      </c>
      <c r="X51" s="188">
        <f t="shared" si="20"/>
        <v>4024</v>
      </c>
      <c r="Y51" s="188">
        <f t="shared" si="21"/>
        <v>3504</v>
      </c>
    </row>
    <row r="52" spans="1:25" ht="14" x14ac:dyDescent="0.2">
      <c r="A52" s="189">
        <v>61</v>
      </c>
      <c r="B52" s="187"/>
      <c r="C52" s="190">
        <f t="shared" si="8"/>
        <v>10608</v>
      </c>
      <c r="D52" s="190">
        <f t="shared" si="9"/>
        <v>9221</v>
      </c>
      <c r="E52" s="190">
        <f t="shared" si="10"/>
        <v>8526</v>
      </c>
      <c r="F52" s="190">
        <f t="shared" si="11"/>
        <v>7745</v>
      </c>
      <c r="G52" s="190">
        <f t="shared" si="12"/>
        <v>5238</v>
      </c>
      <c r="H52" s="190">
        <f t="shared" si="13"/>
        <v>4200</v>
      </c>
      <c r="I52" s="190">
        <f t="shared" si="14"/>
        <v>3718</v>
      </c>
      <c r="K52" s="186">
        <f>IF('INGRESO DE DATOS'!$W$19=1,'Tablas Guyanas y Santa Elena'!C49,'Tablas Resto de Ecuador'!C49)</f>
        <v>10608</v>
      </c>
      <c r="L52" s="186">
        <f>IF('INGRESO DE DATOS'!$W$19=1,'Tablas Guyanas y Santa Elena'!D49,'Tablas Resto de Ecuador'!D49)</f>
        <v>9221</v>
      </c>
      <c r="M52" s="186">
        <f>IF('INGRESO DE DATOS'!$W$19=1,'Tablas Guyanas y Santa Elena'!E49,'Tablas Resto de Ecuador'!E49)</f>
        <v>8526</v>
      </c>
      <c r="N52" s="186">
        <f>IF('INGRESO DE DATOS'!$W$19=1,'Tablas Guyanas y Santa Elena'!F49,'Tablas Resto de Ecuador'!F49)</f>
        <v>7745</v>
      </c>
      <c r="O52" s="186">
        <f>IF('INGRESO DE DATOS'!$W$19=1,'Tablas Guyanas y Santa Elena'!G49,'Tablas Resto de Ecuador'!G49)</f>
        <v>5238</v>
      </c>
      <c r="P52" s="186">
        <f>IF('INGRESO DE DATOS'!$W$19=1,'Tablas Guyanas y Santa Elena'!H49,'Tablas Resto de Ecuador'!H49)</f>
        <v>4200</v>
      </c>
      <c r="Q52" s="186">
        <f>IF('INGRESO DE DATOS'!$W$19=1,'Tablas Guyanas y Santa Elena'!I49,'Tablas Resto de Ecuador'!I49)</f>
        <v>3718</v>
      </c>
      <c r="S52" s="188">
        <f t="shared" si="15"/>
        <v>10608</v>
      </c>
      <c r="T52" s="188">
        <f t="shared" si="16"/>
        <v>9221</v>
      </c>
      <c r="U52" s="188">
        <f t="shared" si="17"/>
        <v>8526</v>
      </c>
      <c r="V52" s="188">
        <f t="shared" si="18"/>
        <v>7745</v>
      </c>
      <c r="W52" s="188">
        <f t="shared" si="19"/>
        <v>5238</v>
      </c>
      <c r="X52" s="188">
        <f t="shared" si="20"/>
        <v>4200</v>
      </c>
      <c r="Y52" s="188">
        <f t="shared" si="21"/>
        <v>3718</v>
      </c>
    </row>
    <row r="53" spans="1:25" ht="14" x14ac:dyDescent="0.2">
      <c r="A53" s="189">
        <v>62</v>
      </c>
      <c r="B53" s="187"/>
      <c r="C53" s="190">
        <f t="shared" si="8"/>
        <v>11280</v>
      </c>
      <c r="D53" s="190">
        <f t="shared" si="9"/>
        <v>9685</v>
      </c>
      <c r="E53" s="190">
        <f t="shared" si="10"/>
        <v>8943</v>
      </c>
      <c r="F53" s="190">
        <f t="shared" si="11"/>
        <v>8096</v>
      </c>
      <c r="G53" s="190">
        <f t="shared" si="12"/>
        <v>5478</v>
      </c>
      <c r="H53" s="190">
        <f t="shared" si="13"/>
        <v>4428</v>
      </c>
      <c r="I53" s="190">
        <f t="shared" si="14"/>
        <v>3930</v>
      </c>
      <c r="K53" s="186">
        <f>IF('INGRESO DE DATOS'!$W$19=1,'Tablas Guyanas y Santa Elena'!C50,'Tablas Resto de Ecuador'!C50)</f>
        <v>11280</v>
      </c>
      <c r="L53" s="186">
        <f>IF('INGRESO DE DATOS'!$W$19=1,'Tablas Guyanas y Santa Elena'!D50,'Tablas Resto de Ecuador'!D50)</f>
        <v>9685</v>
      </c>
      <c r="M53" s="186">
        <f>IF('INGRESO DE DATOS'!$W$19=1,'Tablas Guyanas y Santa Elena'!E50,'Tablas Resto de Ecuador'!E50)</f>
        <v>8943</v>
      </c>
      <c r="N53" s="186">
        <f>IF('INGRESO DE DATOS'!$W$19=1,'Tablas Guyanas y Santa Elena'!F50,'Tablas Resto de Ecuador'!F50)</f>
        <v>8096</v>
      </c>
      <c r="O53" s="186">
        <f>IF('INGRESO DE DATOS'!$W$19=1,'Tablas Guyanas y Santa Elena'!G50,'Tablas Resto de Ecuador'!G50)</f>
        <v>5478</v>
      </c>
      <c r="P53" s="186">
        <f>IF('INGRESO DE DATOS'!$W$19=1,'Tablas Guyanas y Santa Elena'!H50,'Tablas Resto de Ecuador'!H50)</f>
        <v>4428</v>
      </c>
      <c r="Q53" s="186">
        <f>IF('INGRESO DE DATOS'!$W$19=1,'Tablas Guyanas y Santa Elena'!I50,'Tablas Resto de Ecuador'!I50)</f>
        <v>3930</v>
      </c>
      <c r="S53" s="188">
        <f t="shared" si="15"/>
        <v>11280</v>
      </c>
      <c r="T53" s="188">
        <f t="shared" si="16"/>
        <v>9685</v>
      </c>
      <c r="U53" s="188">
        <f t="shared" si="17"/>
        <v>8943</v>
      </c>
      <c r="V53" s="188">
        <f t="shared" si="18"/>
        <v>8096</v>
      </c>
      <c r="W53" s="188">
        <f t="shared" si="19"/>
        <v>5478</v>
      </c>
      <c r="X53" s="188">
        <f t="shared" si="20"/>
        <v>4428</v>
      </c>
      <c r="Y53" s="188">
        <f t="shared" si="21"/>
        <v>3930</v>
      </c>
    </row>
    <row r="54" spans="1:25" ht="14" x14ac:dyDescent="0.2">
      <c r="A54" s="189">
        <v>63</v>
      </c>
      <c r="B54" s="187"/>
      <c r="C54" s="190">
        <f t="shared" si="8"/>
        <v>12061</v>
      </c>
      <c r="D54" s="190">
        <f t="shared" si="9"/>
        <v>10384</v>
      </c>
      <c r="E54" s="190">
        <f t="shared" si="10"/>
        <v>9409</v>
      </c>
      <c r="F54" s="190">
        <f t="shared" si="11"/>
        <v>8511</v>
      </c>
      <c r="G54" s="190">
        <f t="shared" si="12"/>
        <v>5761</v>
      </c>
      <c r="H54" s="190">
        <f t="shared" si="13"/>
        <v>4730</v>
      </c>
      <c r="I54" s="190">
        <f t="shared" si="14"/>
        <v>4219</v>
      </c>
      <c r="K54" s="186">
        <f>IF('INGRESO DE DATOS'!$W$19=1,'Tablas Guyanas y Santa Elena'!C51,'Tablas Resto de Ecuador'!C51)</f>
        <v>12061</v>
      </c>
      <c r="L54" s="186">
        <f>IF('INGRESO DE DATOS'!$W$19=1,'Tablas Guyanas y Santa Elena'!D51,'Tablas Resto de Ecuador'!D51)</f>
        <v>10384</v>
      </c>
      <c r="M54" s="186">
        <f>IF('INGRESO DE DATOS'!$W$19=1,'Tablas Guyanas y Santa Elena'!E51,'Tablas Resto de Ecuador'!E51)</f>
        <v>9409</v>
      </c>
      <c r="N54" s="186">
        <f>IF('INGRESO DE DATOS'!$W$19=1,'Tablas Guyanas y Santa Elena'!F51,'Tablas Resto de Ecuador'!F51)</f>
        <v>8511</v>
      </c>
      <c r="O54" s="186">
        <f>IF('INGRESO DE DATOS'!$W$19=1,'Tablas Guyanas y Santa Elena'!G51,'Tablas Resto de Ecuador'!G51)</f>
        <v>5761</v>
      </c>
      <c r="P54" s="186">
        <f>IF('INGRESO DE DATOS'!$W$19=1,'Tablas Guyanas y Santa Elena'!H51,'Tablas Resto de Ecuador'!H51)</f>
        <v>4730</v>
      </c>
      <c r="Q54" s="186">
        <f>IF('INGRESO DE DATOS'!$W$19=1,'Tablas Guyanas y Santa Elena'!I51,'Tablas Resto de Ecuador'!I51)</f>
        <v>4219</v>
      </c>
      <c r="S54" s="188">
        <f t="shared" si="15"/>
        <v>12061</v>
      </c>
      <c r="T54" s="188">
        <f t="shared" si="16"/>
        <v>10384</v>
      </c>
      <c r="U54" s="188">
        <f t="shared" si="17"/>
        <v>9409</v>
      </c>
      <c r="V54" s="188">
        <f t="shared" si="18"/>
        <v>8511</v>
      </c>
      <c r="W54" s="188">
        <f t="shared" si="19"/>
        <v>5761</v>
      </c>
      <c r="X54" s="188">
        <f t="shared" si="20"/>
        <v>4730</v>
      </c>
      <c r="Y54" s="188">
        <f t="shared" si="21"/>
        <v>4219</v>
      </c>
    </row>
    <row r="55" spans="1:25" ht="14" x14ac:dyDescent="0.2">
      <c r="A55" s="189">
        <v>64</v>
      </c>
      <c r="B55" s="187"/>
      <c r="C55" s="190">
        <f t="shared" si="8"/>
        <v>12903</v>
      </c>
      <c r="D55" s="190">
        <f t="shared" si="9"/>
        <v>11137</v>
      </c>
      <c r="E55" s="190">
        <f t="shared" si="10"/>
        <v>9945</v>
      </c>
      <c r="F55" s="190">
        <f t="shared" si="11"/>
        <v>8998</v>
      </c>
      <c r="G55" s="190">
        <f t="shared" si="12"/>
        <v>6094</v>
      </c>
      <c r="H55" s="190">
        <f t="shared" si="13"/>
        <v>5091</v>
      </c>
      <c r="I55" s="190">
        <f t="shared" si="14"/>
        <v>4612</v>
      </c>
      <c r="K55" s="186">
        <f>IF('INGRESO DE DATOS'!$W$19=1,'Tablas Guyanas y Santa Elena'!C52,'Tablas Resto de Ecuador'!C52)</f>
        <v>12903</v>
      </c>
      <c r="L55" s="186">
        <f>IF('INGRESO DE DATOS'!$W$19=1,'Tablas Guyanas y Santa Elena'!D52,'Tablas Resto de Ecuador'!D52)</f>
        <v>11137</v>
      </c>
      <c r="M55" s="186">
        <f>IF('INGRESO DE DATOS'!$W$19=1,'Tablas Guyanas y Santa Elena'!E52,'Tablas Resto de Ecuador'!E52)</f>
        <v>9945</v>
      </c>
      <c r="N55" s="186">
        <f>IF('INGRESO DE DATOS'!$W$19=1,'Tablas Guyanas y Santa Elena'!F52,'Tablas Resto de Ecuador'!F52)</f>
        <v>8998</v>
      </c>
      <c r="O55" s="186">
        <f>IF('INGRESO DE DATOS'!$W$19=1,'Tablas Guyanas y Santa Elena'!G52,'Tablas Resto de Ecuador'!G52)</f>
        <v>6094</v>
      </c>
      <c r="P55" s="186">
        <f>IF('INGRESO DE DATOS'!$W$19=1,'Tablas Guyanas y Santa Elena'!H52,'Tablas Resto de Ecuador'!H52)</f>
        <v>5091</v>
      </c>
      <c r="Q55" s="186">
        <f>IF('INGRESO DE DATOS'!$W$19=1,'Tablas Guyanas y Santa Elena'!I52,'Tablas Resto de Ecuador'!I52)</f>
        <v>4612</v>
      </c>
      <c r="S55" s="188">
        <f t="shared" si="15"/>
        <v>12903</v>
      </c>
      <c r="T55" s="188">
        <f t="shared" si="16"/>
        <v>11137</v>
      </c>
      <c r="U55" s="188">
        <f t="shared" si="17"/>
        <v>9945</v>
      </c>
      <c r="V55" s="188">
        <f t="shared" si="18"/>
        <v>8998</v>
      </c>
      <c r="W55" s="188">
        <f t="shared" si="19"/>
        <v>6094</v>
      </c>
      <c r="X55" s="188">
        <f t="shared" si="20"/>
        <v>5091</v>
      </c>
      <c r="Y55" s="188">
        <f t="shared" si="21"/>
        <v>4612</v>
      </c>
    </row>
    <row r="56" spans="1:25" ht="14" x14ac:dyDescent="0.2">
      <c r="A56" s="189">
        <v>65</v>
      </c>
      <c r="B56" s="187"/>
      <c r="C56" s="190">
        <f t="shared" si="8"/>
        <v>13804</v>
      </c>
      <c r="D56" s="190">
        <f t="shared" si="9"/>
        <v>11949</v>
      </c>
      <c r="E56" s="190">
        <f t="shared" si="10"/>
        <v>10593</v>
      </c>
      <c r="F56" s="190">
        <f t="shared" si="11"/>
        <v>9673</v>
      </c>
      <c r="G56" s="190">
        <f t="shared" si="12"/>
        <v>6523</v>
      </c>
      <c r="H56" s="190">
        <f t="shared" si="13"/>
        <v>5449</v>
      </c>
      <c r="I56" s="190">
        <f t="shared" si="14"/>
        <v>5095</v>
      </c>
      <c r="K56" s="186">
        <f>IF('INGRESO DE DATOS'!$W$19=1,'Tablas Guyanas y Santa Elena'!C53,'Tablas Resto de Ecuador'!C53)</f>
        <v>13804</v>
      </c>
      <c r="L56" s="186">
        <f>IF('INGRESO DE DATOS'!$W$19=1,'Tablas Guyanas y Santa Elena'!D53,'Tablas Resto de Ecuador'!D53)</f>
        <v>11949</v>
      </c>
      <c r="M56" s="186">
        <f>IF('INGRESO DE DATOS'!$W$19=1,'Tablas Guyanas y Santa Elena'!E53,'Tablas Resto de Ecuador'!E53)</f>
        <v>10593</v>
      </c>
      <c r="N56" s="186">
        <f>IF('INGRESO DE DATOS'!$W$19=1,'Tablas Guyanas y Santa Elena'!F53,'Tablas Resto de Ecuador'!F53)</f>
        <v>9673</v>
      </c>
      <c r="O56" s="186">
        <f>IF('INGRESO DE DATOS'!$W$19=1,'Tablas Guyanas y Santa Elena'!G53,'Tablas Resto de Ecuador'!G53)</f>
        <v>6523</v>
      </c>
      <c r="P56" s="186">
        <f>IF('INGRESO DE DATOS'!$W$19=1,'Tablas Guyanas y Santa Elena'!H53,'Tablas Resto de Ecuador'!H53)</f>
        <v>5449</v>
      </c>
      <c r="Q56" s="186">
        <f>IF('INGRESO DE DATOS'!$W$19=1,'Tablas Guyanas y Santa Elena'!I53,'Tablas Resto de Ecuador'!I53)</f>
        <v>5095</v>
      </c>
      <c r="S56" s="188">
        <f t="shared" si="15"/>
        <v>13804</v>
      </c>
      <c r="T56" s="188">
        <f t="shared" si="16"/>
        <v>11949</v>
      </c>
      <c r="U56" s="188">
        <f t="shared" si="17"/>
        <v>10593</v>
      </c>
      <c r="V56" s="188">
        <f t="shared" si="18"/>
        <v>9673</v>
      </c>
      <c r="W56" s="188">
        <f t="shared" si="19"/>
        <v>6523</v>
      </c>
      <c r="X56" s="188">
        <f t="shared" si="20"/>
        <v>5449</v>
      </c>
      <c r="Y56" s="188">
        <f t="shared" si="21"/>
        <v>5095</v>
      </c>
    </row>
    <row r="57" spans="1:25" ht="14" x14ac:dyDescent="0.2">
      <c r="A57" s="189">
        <v>66</v>
      </c>
      <c r="B57" s="187"/>
      <c r="C57" s="190">
        <f t="shared" si="8"/>
        <v>14774</v>
      </c>
      <c r="D57" s="190">
        <f t="shared" si="9"/>
        <v>12824</v>
      </c>
      <c r="E57" s="190">
        <f t="shared" si="10"/>
        <v>11358</v>
      </c>
      <c r="F57" s="190">
        <f t="shared" si="11"/>
        <v>10447</v>
      </c>
      <c r="G57" s="190">
        <f t="shared" si="12"/>
        <v>7025</v>
      </c>
      <c r="H57" s="190">
        <f t="shared" si="13"/>
        <v>5881</v>
      </c>
      <c r="I57" s="190">
        <f t="shared" si="14"/>
        <v>5601</v>
      </c>
      <c r="K57" s="186">
        <f>IF('INGRESO DE DATOS'!$W$19=1,'Tablas Guyanas y Santa Elena'!C54,'Tablas Resto de Ecuador'!C54)</f>
        <v>14774</v>
      </c>
      <c r="L57" s="186">
        <f>IF('INGRESO DE DATOS'!$W$19=1,'Tablas Guyanas y Santa Elena'!D54,'Tablas Resto de Ecuador'!D54)</f>
        <v>12824</v>
      </c>
      <c r="M57" s="186">
        <f>IF('INGRESO DE DATOS'!$W$19=1,'Tablas Guyanas y Santa Elena'!E54,'Tablas Resto de Ecuador'!E54)</f>
        <v>11358</v>
      </c>
      <c r="N57" s="186">
        <f>IF('INGRESO DE DATOS'!$W$19=1,'Tablas Guyanas y Santa Elena'!F54,'Tablas Resto de Ecuador'!F54)</f>
        <v>10447</v>
      </c>
      <c r="O57" s="186">
        <f>IF('INGRESO DE DATOS'!$W$19=1,'Tablas Guyanas y Santa Elena'!G54,'Tablas Resto de Ecuador'!G54)</f>
        <v>7025</v>
      </c>
      <c r="P57" s="186">
        <f>IF('INGRESO DE DATOS'!$W$19=1,'Tablas Guyanas y Santa Elena'!H54,'Tablas Resto de Ecuador'!H54)</f>
        <v>5881</v>
      </c>
      <c r="Q57" s="186">
        <f>IF('INGRESO DE DATOS'!$W$19=1,'Tablas Guyanas y Santa Elena'!I54,'Tablas Resto de Ecuador'!I54)</f>
        <v>5601</v>
      </c>
      <c r="S57" s="188">
        <f t="shared" si="15"/>
        <v>14774</v>
      </c>
      <c r="T57" s="188">
        <f t="shared" si="16"/>
        <v>12824</v>
      </c>
      <c r="U57" s="188">
        <f t="shared" si="17"/>
        <v>11358</v>
      </c>
      <c r="V57" s="188">
        <f t="shared" si="18"/>
        <v>10447</v>
      </c>
      <c r="W57" s="188">
        <f t="shared" si="19"/>
        <v>7025</v>
      </c>
      <c r="X57" s="188">
        <f t="shared" si="20"/>
        <v>5881</v>
      </c>
      <c r="Y57" s="188">
        <f t="shared" si="21"/>
        <v>5601</v>
      </c>
    </row>
    <row r="58" spans="1:25" ht="14" x14ac:dyDescent="0.2">
      <c r="A58" s="189">
        <v>67</v>
      </c>
      <c r="B58" s="187"/>
      <c r="C58" s="190">
        <f t="shared" si="8"/>
        <v>15818</v>
      </c>
      <c r="D58" s="190">
        <f t="shared" si="9"/>
        <v>13763</v>
      </c>
      <c r="E58" s="190">
        <f t="shared" si="10"/>
        <v>12267</v>
      </c>
      <c r="F58" s="190">
        <f t="shared" si="11"/>
        <v>11289</v>
      </c>
      <c r="G58" s="190">
        <f t="shared" si="12"/>
        <v>7590</v>
      </c>
      <c r="H58" s="190">
        <f t="shared" si="13"/>
        <v>6349</v>
      </c>
      <c r="I58" s="190">
        <f t="shared" si="14"/>
        <v>6053</v>
      </c>
      <c r="K58" s="186">
        <f>IF('INGRESO DE DATOS'!$W$19=1,'Tablas Guyanas y Santa Elena'!C55,'Tablas Resto de Ecuador'!C55)</f>
        <v>15818</v>
      </c>
      <c r="L58" s="186">
        <f>IF('INGRESO DE DATOS'!$W$19=1,'Tablas Guyanas y Santa Elena'!D55,'Tablas Resto de Ecuador'!D55)</f>
        <v>13763</v>
      </c>
      <c r="M58" s="186">
        <f>IF('INGRESO DE DATOS'!$W$19=1,'Tablas Guyanas y Santa Elena'!E55,'Tablas Resto de Ecuador'!E55)</f>
        <v>12267</v>
      </c>
      <c r="N58" s="186">
        <f>IF('INGRESO DE DATOS'!$W$19=1,'Tablas Guyanas y Santa Elena'!F55,'Tablas Resto de Ecuador'!F55)</f>
        <v>11289</v>
      </c>
      <c r="O58" s="186">
        <f>IF('INGRESO DE DATOS'!$W$19=1,'Tablas Guyanas y Santa Elena'!G55,'Tablas Resto de Ecuador'!G55)</f>
        <v>7590</v>
      </c>
      <c r="P58" s="186">
        <f>IF('INGRESO DE DATOS'!$W$19=1,'Tablas Guyanas y Santa Elena'!H55,'Tablas Resto de Ecuador'!H55)</f>
        <v>6349</v>
      </c>
      <c r="Q58" s="186">
        <f>IF('INGRESO DE DATOS'!$W$19=1,'Tablas Guyanas y Santa Elena'!I55,'Tablas Resto de Ecuador'!I55)</f>
        <v>6053</v>
      </c>
      <c r="S58" s="188">
        <f t="shared" si="15"/>
        <v>15818</v>
      </c>
      <c r="T58" s="188">
        <f t="shared" si="16"/>
        <v>13763</v>
      </c>
      <c r="U58" s="188">
        <f t="shared" si="17"/>
        <v>12267</v>
      </c>
      <c r="V58" s="188">
        <f t="shared" si="18"/>
        <v>11289</v>
      </c>
      <c r="W58" s="188">
        <f t="shared" si="19"/>
        <v>7590</v>
      </c>
      <c r="X58" s="188">
        <f t="shared" si="20"/>
        <v>6349</v>
      </c>
      <c r="Y58" s="188">
        <f t="shared" si="21"/>
        <v>6053</v>
      </c>
    </row>
    <row r="59" spans="1:25" ht="14" x14ac:dyDescent="0.2">
      <c r="A59" s="189">
        <v>68</v>
      </c>
      <c r="B59" s="187"/>
      <c r="C59" s="190">
        <f t="shared" si="8"/>
        <v>16937</v>
      </c>
      <c r="D59" s="190">
        <f t="shared" si="9"/>
        <v>14778</v>
      </c>
      <c r="E59" s="190">
        <f t="shared" si="10"/>
        <v>13307</v>
      </c>
      <c r="F59" s="190">
        <f t="shared" si="11"/>
        <v>12241</v>
      </c>
      <c r="G59" s="190">
        <f t="shared" si="12"/>
        <v>8228</v>
      </c>
      <c r="H59" s="190">
        <f t="shared" si="13"/>
        <v>7164</v>
      </c>
      <c r="I59" s="190">
        <f t="shared" si="14"/>
        <v>6539</v>
      </c>
      <c r="K59" s="186">
        <f>IF('INGRESO DE DATOS'!$W$19=1,'Tablas Guyanas y Santa Elena'!C56,'Tablas Resto de Ecuador'!C56)</f>
        <v>16937</v>
      </c>
      <c r="L59" s="186">
        <f>IF('INGRESO DE DATOS'!$W$19=1,'Tablas Guyanas y Santa Elena'!D56,'Tablas Resto de Ecuador'!D56)</f>
        <v>14778</v>
      </c>
      <c r="M59" s="186">
        <f>IF('INGRESO DE DATOS'!$W$19=1,'Tablas Guyanas y Santa Elena'!E56,'Tablas Resto de Ecuador'!E56)</f>
        <v>13307</v>
      </c>
      <c r="N59" s="186">
        <f>IF('INGRESO DE DATOS'!$W$19=1,'Tablas Guyanas y Santa Elena'!F56,'Tablas Resto de Ecuador'!F56)</f>
        <v>12241</v>
      </c>
      <c r="O59" s="186">
        <f>IF('INGRESO DE DATOS'!$W$19=1,'Tablas Guyanas y Santa Elena'!G56,'Tablas Resto de Ecuador'!G56)</f>
        <v>8228</v>
      </c>
      <c r="P59" s="186">
        <f>IF('INGRESO DE DATOS'!$W$19=1,'Tablas Guyanas y Santa Elena'!H56,'Tablas Resto de Ecuador'!H56)</f>
        <v>7164</v>
      </c>
      <c r="Q59" s="186">
        <f>IF('INGRESO DE DATOS'!$W$19=1,'Tablas Guyanas y Santa Elena'!I56,'Tablas Resto de Ecuador'!I56)</f>
        <v>6539</v>
      </c>
      <c r="S59" s="188">
        <f t="shared" si="15"/>
        <v>16937</v>
      </c>
      <c r="T59" s="188">
        <f t="shared" si="16"/>
        <v>14778</v>
      </c>
      <c r="U59" s="188">
        <f t="shared" si="17"/>
        <v>13307</v>
      </c>
      <c r="V59" s="188">
        <f t="shared" si="18"/>
        <v>12241</v>
      </c>
      <c r="W59" s="188">
        <f t="shared" si="19"/>
        <v>8228</v>
      </c>
      <c r="X59" s="188">
        <f t="shared" si="20"/>
        <v>7164</v>
      </c>
      <c r="Y59" s="188">
        <f t="shared" si="21"/>
        <v>6539</v>
      </c>
    </row>
    <row r="60" spans="1:25" ht="14" x14ac:dyDescent="0.2">
      <c r="A60" s="189">
        <v>69</v>
      </c>
      <c r="B60" s="187"/>
      <c r="C60" s="190">
        <f t="shared" si="8"/>
        <v>18139</v>
      </c>
      <c r="D60" s="190">
        <f t="shared" si="9"/>
        <v>15865</v>
      </c>
      <c r="E60" s="190">
        <f t="shared" si="10"/>
        <v>14519</v>
      </c>
      <c r="F60" s="190">
        <f t="shared" si="11"/>
        <v>13368</v>
      </c>
      <c r="G60" s="190">
        <f t="shared" si="12"/>
        <v>8988</v>
      </c>
      <c r="H60" s="190">
        <f t="shared" si="13"/>
        <v>7735</v>
      </c>
      <c r="I60" s="190">
        <f t="shared" si="14"/>
        <v>7066</v>
      </c>
      <c r="K60" s="186">
        <f>IF('INGRESO DE DATOS'!$W$19=1,'Tablas Guyanas y Santa Elena'!C57,'Tablas Resto de Ecuador'!C57)</f>
        <v>18139</v>
      </c>
      <c r="L60" s="186">
        <f>IF('INGRESO DE DATOS'!$W$19=1,'Tablas Guyanas y Santa Elena'!D57,'Tablas Resto de Ecuador'!D57)</f>
        <v>15865</v>
      </c>
      <c r="M60" s="186">
        <f>IF('INGRESO DE DATOS'!$W$19=1,'Tablas Guyanas y Santa Elena'!E57,'Tablas Resto de Ecuador'!E57)</f>
        <v>14519</v>
      </c>
      <c r="N60" s="186">
        <f>IF('INGRESO DE DATOS'!$W$19=1,'Tablas Guyanas y Santa Elena'!F57,'Tablas Resto de Ecuador'!F57)</f>
        <v>13368</v>
      </c>
      <c r="O60" s="186">
        <f>IF('INGRESO DE DATOS'!$W$19=1,'Tablas Guyanas y Santa Elena'!G57,'Tablas Resto de Ecuador'!G57)</f>
        <v>8988</v>
      </c>
      <c r="P60" s="186">
        <f>IF('INGRESO DE DATOS'!$W$19=1,'Tablas Guyanas y Santa Elena'!H57,'Tablas Resto de Ecuador'!H57)</f>
        <v>7735</v>
      </c>
      <c r="Q60" s="186">
        <f>IF('INGRESO DE DATOS'!$W$19=1,'Tablas Guyanas y Santa Elena'!I57,'Tablas Resto de Ecuador'!I57)</f>
        <v>7066</v>
      </c>
      <c r="S60" s="188">
        <f t="shared" si="15"/>
        <v>18139</v>
      </c>
      <c r="T60" s="188">
        <f t="shared" si="16"/>
        <v>15865</v>
      </c>
      <c r="U60" s="188">
        <f t="shared" si="17"/>
        <v>14519</v>
      </c>
      <c r="V60" s="188">
        <f t="shared" si="18"/>
        <v>13368</v>
      </c>
      <c r="W60" s="188">
        <f t="shared" si="19"/>
        <v>8988</v>
      </c>
      <c r="X60" s="188">
        <f t="shared" si="20"/>
        <v>7735</v>
      </c>
      <c r="Y60" s="188">
        <f t="shared" si="21"/>
        <v>7066</v>
      </c>
    </row>
    <row r="61" spans="1:25" ht="14" x14ac:dyDescent="0.2">
      <c r="A61" s="189">
        <v>70</v>
      </c>
      <c r="B61" s="187"/>
      <c r="C61" s="190">
        <f t="shared" si="8"/>
        <v>19736</v>
      </c>
      <c r="D61" s="190">
        <f t="shared" si="9"/>
        <v>17164</v>
      </c>
      <c r="E61" s="190">
        <f t="shared" si="10"/>
        <v>15789</v>
      </c>
      <c r="F61" s="190">
        <f t="shared" si="11"/>
        <v>14877</v>
      </c>
      <c r="G61" s="190">
        <f t="shared" si="12"/>
        <v>9939</v>
      </c>
      <c r="H61" s="190">
        <f t="shared" si="13"/>
        <v>8351</v>
      </c>
      <c r="I61" s="190">
        <f t="shared" si="14"/>
        <v>7398</v>
      </c>
      <c r="K61" s="186">
        <f>IF('INGRESO DE DATOS'!$W$19=1,'Tablas Guyanas y Santa Elena'!C58,'Tablas Resto de Ecuador'!C58)</f>
        <v>19736</v>
      </c>
      <c r="L61" s="186">
        <f>IF('INGRESO DE DATOS'!$W$19=1,'Tablas Guyanas y Santa Elena'!D58,'Tablas Resto de Ecuador'!D58)</f>
        <v>17164</v>
      </c>
      <c r="M61" s="186">
        <f>IF('INGRESO DE DATOS'!$W$19=1,'Tablas Guyanas y Santa Elena'!E58,'Tablas Resto de Ecuador'!E58)</f>
        <v>15789</v>
      </c>
      <c r="N61" s="186">
        <f>IF('INGRESO DE DATOS'!$W$19=1,'Tablas Guyanas y Santa Elena'!F58,'Tablas Resto de Ecuador'!F58)</f>
        <v>14877</v>
      </c>
      <c r="O61" s="186">
        <f>IF('INGRESO DE DATOS'!$W$19=1,'Tablas Guyanas y Santa Elena'!G58,'Tablas Resto de Ecuador'!G58)</f>
        <v>9939</v>
      </c>
      <c r="P61" s="186">
        <f>IF('INGRESO DE DATOS'!$W$19=1,'Tablas Guyanas y Santa Elena'!H58,'Tablas Resto de Ecuador'!H58)</f>
        <v>8351</v>
      </c>
      <c r="Q61" s="186">
        <f>IF('INGRESO DE DATOS'!$W$19=1,'Tablas Guyanas y Santa Elena'!I58,'Tablas Resto de Ecuador'!I58)</f>
        <v>7398</v>
      </c>
      <c r="S61" s="188">
        <f t="shared" si="15"/>
        <v>19736</v>
      </c>
      <c r="T61" s="188">
        <f t="shared" si="16"/>
        <v>17164</v>
      </c>
      <c r="U61" s="188">
        <f t="shared" si="17"/>
        <v>15789</v>
      </c>
      <c r="V61" s="188">
        <f t="shared" si="18"/>
        <v>14877</v>
      </c>
      <c r="W61" s="188">
        <f t="shared" si="19"/>
        <v>9939</v>
      </c>
      <c r="X61" s="188">
        <f t="shared" si="20"/>
        <v>8351</v>
      </c>
      <c r="Y61" s="188">
        <f t="shared" si="21"/>
        <v>7398</v>
      </c>
    </row>
    <row r="62" spans="1:25" ht="14" x14ac:dyDescent="0.2">
      <c r="A62" s="189">
        <v>71</v>
      </c>
      <c r="B62" s="187"/>
      <c r="C62" s="190">
        <f t="shared" si="8"/>
        <v>21736</v>
      </c>
      <c r="D62" s="190">
        <f t="shared" si="9"/>
        <v>18903</v>
      </c>
      <c r="E62" s="190">
        <f t="shared" si="10"/>
        <v>17537</v>
      </c>
      <c r="F62" s="190">
        <f t="shared" si="11"/>
        <v>16381</v>
      </c>
      <c r="G62" s="190">
        <f t="shared" si="12"/>
        <v>10948</v>
      </c>
      <c r="H62" s="190">
        <f t="shared" si="13"/>
        <v>9406</v>
      </c>
      <c r="I62" s="190">
        <f t="shared" si="14"/>
        <v>7755</v>
      </c>
      <c r="K62" s="186">
        <f>IF('INGRESO DE DATOS'!$W$19=1,'Tablas Guyanas y Santa Elena'!C59,'Tablas Resto de Ecuador'!C59)</f>
        <v>21736</v>
      </c>
      <c r="L62" s="186">
        <f>IF('INGRESO DE DATOS'!$W$19=1,'Tablas Guyanas y Santa Elena'!D59,'Tablas Resto de Ecuador'!D59)</f>
        <v>18903</v>
      </c>
      <c r="M62" s="186">
        <f>IF('INGRESO DE DATOS'!$W$19=1,'Tablas Guyanas y Santa Elena'!E59,'Tablas Resto de Ecuador'!E59)</f>
        <v>17537</v>
      </c>
      <c r="N62" s="186">
        <f>IF('INGRESO DE DATOS'!$W$19=1,'Tablas Guyanas y Santa Elena'!F59,'Tablas Resto de Ecuador'!F59)</f>
        <v>16381</v>
      </c>
      <c r="O62" s="186">
        <f>IF('INGRESO DE DATOS'!$W$19=1,'Tablas Guyanas y Santa Elena'!G59,'Tablas Resto de Ecuador'!G59)</f>
        <v>10948</v>
      </c>
      <c r="P62" s="186">
        <f>IF('INGRESO DE DATOS'!$W$19=1,'Tablas Guyanas y Santa Elena'!H59,'Tablas Resto de Ecuador'!H59)</f>
        <v>9406</v>
      </c>
      <c r="Q62" s="186">
        <f>IF('INGRESO DE DATOS'!$W$19=1,'Tablas Guyanas y Santa Elena'!I59,'Tablas Resto de Ecuador'!I59)</f>
        <v>7755</v>
      </c>
      <c r="S62" s="188">
        <f t="shared" si="15"/>
        <v>21736</v>
      </c>
      <c r="T62" s="188">
        <f t="shared" si="16"/>
        <v>18903</v>
      </c>
      <c r="U62" s="188">
        <f t="shared" si="17"/>
        <v>17537</v>
      </c>
      <c r="V62" s="188">
        <f t="shared" si="18"/>
        <v>16381</v>
      </c>
      <c r="W62" s="188">
        <f t="shared" si="19"/>
        <v>10948</v>
      </c>
      <c r="X62" s="188">
        <f t="shared" si="20"/>
        <v>9406</v>
      </c>
      <c r="Y62" s="188">
        <f t="shared" si="21"/>
        <v>7755</v>
      </c>
    </row>
    <row r="63" spans="1:25" ht="14" x14ac:dyDescent="0.2">
      <c r="A63" s="189">
        <v>72</v>
      </c>
      <c r="B63" s="187"/>
      <c r="C63" s="190">
        <f t="shared" si="8"/>
        <v>24044</v>
      </c>
      <c r="D63" s="190">
        <f t="shared" si="9"/>
        <v>20909</v>
      </c>
      <c r="E63" s="190">
        <f t="shared" si="10"/>
        <v>19403</v>
      </c>
      <c r="F63" s="190">
        <f t="shared" si="11"/>
        <v>18129</v>
      </c>
      <c r="G63" s="190">
        <f t="shared" si="12"/>
        <v>12118</v>
      </c>
      <c r="H63" s="190">
        <f t="shared" si="13"/>
        <v>10151</v>
      </c>
      <c r="I63" s="190">
        <f t="shared" si="14"/>
        <v>8232</v>
      </c>
      <c r="K63" s="186">
        <f>IF('INGRESO DE DATOS'!$W$19=1,'Tablas Guyanas y Santa Elena'!C60,'Tablas Resto de Ecuador'!C60)</f>
        <v>24044</v>
      </c>
      <c r="L63" s="186">
        <f>IF('INGRESO DE DATOS'!$W$19=1,'Tablas Guyanas y Santa Elena'!D60,'Tablas Resto de Ecuador'!D60)</f>
        <v>20909</v>
      </c>
      <c r="M63" s="186">
        <f>IF('INGRESO DE DATOS'!$W$19=1,'Tablas Guyanas y Santa Elena'!E60,'Tablas Resto de Ecuador'!E60)</f>
        <v>19403</v>
      </c>
      <c r="N63" s="186">
        <f>IF('INGRESO DE DATOS'!$W$19=1,'Tablas Guyanas y Santa Elena'!F60,'Tablas Resto de Ecuador'!F60)</f>
        <v>18129</v>
      </c>
      <c r="O63" s="186">
        <f>IF('INGRESO DE DATOS'!$W$19=1,'Tablas Guyanas y Santa Elena'!G60,'Tablas Resto de Ecuador'!G60)</f>
        <v>12118</v>
      </c>
      <c r="P63" s="186">
        <f>IF('INGRESO DE DATOS'!$W$19=1,'Tablas Guyanas y Santa Elena'!H60,'Tablas Resto de Ecuador'!H60)</f>
        <v>10151</v>
      </c>
      <c r="Q63" s="186">
        <f>IF('INGRESO DE DATOS'!$W$19=1,'Tablas Guyanas y Santa Elena'!I60,'Tablas Resto de Ecuador'!I60)</f>
        <v>8232</v>
      </c>
      <c r="S63" s="188">
        <f t="shared" si="15"/>
        <v>24044</v>
      </c>
      <c r="T63" s="188">
        <f t="shared" si="16"/>
        <v>20909</v>
      </c>
      <c r="U63" s="188">
        <f t="shared" si="17"/>
        <v>19403</v>
      </c>
      <c r="V63" s="188">
        <f t="shared" si="18"/>
        <v>18129</v>
      </c>
      <c r="W63" s="188">
        <f t="shared" si="19"/>
        <v>12118</v>
      </c>
      <c r="X63" s="188">
        <f t="shared" si="20"/>
        <v>10151</v>
      </c>
      <c r="Y63" s="188">
        <f t="shared" si="21"/>
        <v>8232</v>
      </c>
    </row>
    <row r="64" spans="1:25" ht="14" x14ac:dyDescent="0.2">
      <c r="A64" s="189">
        <v>73</v>
      </c>
      <c r="B64" s="187"/>
      <c r="C64" s="190">
        <f t="shared" si="8"/>
        <v>26708</v>
      </c>
      <c r="D64" s="190">
        <f t="shared" si="9"/>
        <v>23222</v>
      </c>
      <c r="E64" s="190">
        <f t="shared" si="10"/>
        <v>21545</v>
      </c>
      <c r="F64" s="190">
        <f t="shared" si="11"/>
        <v>20125</v>
      </c>
      <c r="G64" s="190">
        <f t="shared" si="12"/>
        <v>13448</v>
      </c>
      <c r="H64" s="190">
        <f t="shared" si="13"/>
        <v>10954</v>
      </c>
      <c r="I64" s="190">
        <f t="shared" si="14"/>
        <v>8926</v>
      </c>
      <c r="K64" s="186">
        <f>IF('INGRESO DE DATOS'!$W$19=1,'Tablas Guyanas y Santa Elena'!C61,'Tablas Resto de Ecuador'!C61)</f>
        <v>26708</v>
      </c>
      <c r="L64" s="186">
        <f>IF('INGRESO DE DATOS'!$W$19=1,'Tablas Guyanas y Santa Elena'!D61,'Tablas Resto de Ecuador'!D61)</f>
        <v>23222</v>
      </c>
      <c r="M64" s="186">
        <f>IF('INGRESO DE DATOS'!$W$19=1,'Tablas Guyanas y Santa Elena'!E61,'Tablas Resto de Ecuador'!E61)</f>
        <v>21545</v>
      </c>
      <c r="N64" s="186">
        <f>IF('INGRESO DE DATOS'!$W$19=1,'Tablas Guyanas y Santa Elena'!F61,'Tablas Resto de Ecuador'!F61)</f>
        <v>20125</v>
      </c>
      <c r="O64" s="186">
        <f>IF('INGRESO DE DATOS'!$W$19=1,'Tablas Guyanas y Santa Elena'!G61,'Tablas Resto de Ecuador'!G61)</f>
        <v>13448</v>
      </c>
      <c r="P64" s="186">
        <f>IF('INGRESO DE DATOS'!$W$19=1,'Tablas Guyanas y Santa Elena'!H61,'Tablas Resto de Ecuador'!H61)</f>
        <v>10954</v>
      </c>
      <c r="Q64" s="186">
        <f>IF('INGRESO DE DATOS'!$W$19=1,'Tablas Guyanas y Santa Elena'!I61,'Tablas Resto de Ecuador'!I61)</f>
        <v>8926</v>
      </c>
      <c r="S64" s="188">
        <f t="shared" si="15"/>
        <v>26708</v>
      </c>
      <c r="T64" s="188">
        <f t="shared" si="16"/>
        <v>23222</v>
      </c>
      <c r="U64" s="188">
        <f t="shared" si="17"/>
        <v>21545</v>
      </c>
      <c r="V64" s="188">
        <f t="shared" si="18"/>
        <v>20125</v>
      </c>
      <c r="W64" s="188">
        <f t="shared" si="19"/>
        <v>13448</v>
      </c>
      <c r="X64" s="188">
        <f t="shared" si="20"/>
        <v>10954</v>
      </c>
      <c r="Y64" s="188">
        <f t="shared" si="21"/>
        <v>8926</v>
      </c>
    </row>
    <row r="65" spans="1:25" ht="14" x14ac:dyDescent="0.2">
      <c r="A65" s="189">
        <v>74</v>
      </c>
      <c r="B65" s="187"/>
      <c r="C65" s="190">
        <f t="shared" si="8"/>
        <v>29774</v>
      </c>
      <c r="D65" s="190">
        <f t="shared" si="9"/>
        <v>25888</v>
      </c>
      <c r="E65" s="190">
        <f t="shared" si="10"/>
        <v>24021</v>
      </c>
      <c r="F65" s="190">
        <f t="shared" si="11"/>
        <v>22438</v>
      </c>
      <c r="G65" s="190">
        <f t="shared" si="12"/>
        <v>14997</v>
      </c>
      <c r="H65" s="190">
        <f t="shared" si="13"/>
        <v>12303</v>
      </c>
      <c r="I65" s="190">
        <f t="shared" si="14"/>
        <v>9898</v>
      </c>
      <c r="K65" s="186">
        <f>IF('INGRESO DE DATOS'!$W$19=1,'Tablas Guyanas y Santa Elena'!C62,'Tablas Resto de Ecuador'!C62)</f>
        <v>29774</v>
      </c>
      <c r="L65" s="186">
        <f>IF('INGRESO DE DATOS'!$W$19=1,'Tablas Guyanas y Santa Elena'!D62,'Tablas Resto de Ecuador'!D62)</f>
        <v>25888</v>
      </c>
      <c r="M65" s="186">
        <f>IF('INGRESO DE DATOS'!$W$19=1,'Tablas Guyanas y Santa Elena'!E62,'Tablas Resto de Ecuador'!E62)</f>
        <v>24021</v>
      </c>
      <c r="N65" s="186">
        <f>IF('INGRESO DE DATOS'!$W$19=1,'Tablas Guyanas y Santa Elena'!F62,'Tablas Resto de Ecuador'!F62)</f>
        <v>22438</v>
      </c>
      <c r="O65" s="186">
        <f>IF('INGRESO DE DATOS'!$W$19=1,'Tablas Guyanas y Santa Elena'!G62,'Tablas Resto de Ecuador'!G62)</f>
        <v>14997</v>
      </c>
      <c r="P65" s="186">
        <f>IF('INGRESO DE DATOS'!$W$19=1,'Tablas Guyanas y Santa Elena'!H62,'Tablas Resto de Ecuador'!H62)</f>
        <v>12303</v>
      </c>
      <c r="Q65" s="186">
        <f>IF('INGRESO DE DATOS'!$W$19=1,'Tablas Guyanas y Santa Elena'!I62,'Tablas Resto de Ecuador'!I62)</f>
        <v>9898</v>
      </c>
      <c r="S65" s="188">
        <f t="shared" si="15"/>
        <v>29774</v>
      </c>
      <c r="T65" s="188">
        <f t="shared" si="16"/>
        <v>25888</v>
      </c>
      <c r="U65" s="188">
        <f t="shared" si="17"/>
        <v>24021</v>
      </c>
      <c r="V65" s="188">
        <f t="shared" si="18"/>
        <v>22438</v>
      </c>
      <c r="W65" s="188">
        <f t="shared" si="19"/>
        <v>14997</v>
      </c>
      <c r="X65" s="188">
        <f t="shared" si="20"/>
        <v>12303</v>
      </c>
      <c r="Y65" s="188">
        <f t="shared" si="21"/>
        <v>9898</v>
      </c>
    </row>
    <row r="66" spans="1:25" ht="14" x14ac:dyDescent="0.2">
      <c r="A66" s="189">
        <v>75</v>
      </c>
      <c r="B66" s="187"/>
      <c r="C66" s="190">
        <f t="shared" si="8"/>
        <v>32335</v>
      </c>
      <c r="D66" s="190">
        <f t="shared" si="9"/>
        <v>28951</v>
      </c>
      <c r="E66" s="190">
        <f t="shared" si="10"/>
        <v>26752</v>
      </c>
      <c r="F66" s="190">
        <f t="shared" si="11"/>
        <v>25250</v>
      </c>
      <c r="G66" s="190">
        <f t="shared" si="12"/>
        <v>16829</v>
      </c>
      <c r="H66" s="190">
        <f t="shared" si="13"/>
        <v>13259</v>
      </c>
      <c r="I66" s="190">
        <f t="shared" si="14"/>
        <v>11085</v>
      </c>
      <c r="K66" s="186">
        <f>IF('INGRESO DE DATOS'!$W$19=1,'Tablas Guyanas y Santa Elena'!C63,'Tablas Resto de Ecuador'!C63)</f>
        <v>32335</v>
      </c>
      <c r="L66" s="186">
        <f>IF('INGRESO DE DATOS'!$W$19=1,'Tablas Guyanas y Santa Elena'!D63,'Tablas Resto de Ecuador'!D63)</f>
        <v>28951</v>
      </c>
      <c r="M66" s="186">
        <f>IF('INGRESO DE DATOS'!$W$19=1,'Tablas Guyanas y Santa Elena'!E63,'Tablas Resto de Ecuador'!E63)</f>
        <v>26752</v>
      </c>
      <c r="N66" s="186">
        <f>IF('INGRESO DE DATOS'!$W$19=1,'Tablas Guyanas y Santa Elena'!F63,'Tablas Resto de Ecuador'!F63)</f>
        <v>25250</v>
      </c>
      <c r="O66" s="186">
        <f>IF('INGRESO DE DATOS'!$W$19=1,'Tablas Guyanas y Santa Elena'!G63,'Tablas Resto de Ecuador'!G63)</f>
        <v>16829</v>
      </c>
      <c r="P66" s="186">
        <f>IF('INGRESO DE DATOS'!$W$19=1,'Tablas Guyanas y Santa Elena'!H63,'Tablas Resto de Ecuador'!H63)</f>
        <v>13259</v>
      </c>
      <c r="Q66" s="186">
        <f>IF('INGRESO DE DATOS'!$W$19=1,'Tablas Guyanas y Santa Elena'!I63,'Tablas Resto de Ecuador'!I63)</f>
        <v>11085</v>
      </c>
      <c r="S66" s="188">
        <f t="shared" si="15"/>
        <v>32335</v>
      </c>
      <c r="T66" s="188">
        <f t="shared" si="16"/>
        <v>28951</v>
      </c>
      <c r="U66" s="188">
        <f t="shared" si="17"/>
        <v>26752</v>
      </c>
      <c r="V66" s="188">
        <f t="shared" si="18"/>
        <v>25250</v>
      </c>
      <c r="W66" s="188">
        <f t="shared" si="19"/>
        <v>16829</v>
      </c>
      <c r="X66" s="188">
        <f t="shared" si="20"/>
        <v>13259</v>
      </c>
      <c r="Y66" s="188">
        <f t="shared" si="21"/>
        <v>11085</v>
      </c>
    </row>
    <row r="67" spans="1:25" ht="14" x14ac:dyDescent="0.2">
      <c r="A67" s="189">
        <v>76</v>
      </c>
      <c r="B67" s="187"/>
      <c r="C67" s="190">
        <f t="shared" si="8"/>
        <v>34288</v>
      </c>
      <c r="D67" s="190">
        <f t="shared" si="9"/>
        <v>32463</v>
      </c>
      <c r="E67" s="190">
        <f t="shared" si="10"/>
        <v>30098</v>
      </c>
      <c r="F67" s="190">
        <f t="shared" si="11"/>
        <v>28310</v>
      </c>
      <c r="G67" s="190">
        <f t="shared" si="12"/>
        <v>18868</v>
      </c>
      <c r="H67" s="190">
        <f t="shared" si="13"/>
        <v>14278</v>
      </c>
      <c r="I67" s="190">
        <f t="shared" si="14"/>
        <v>11972</v>
      </c>
      <c r="K67" s="186">
        <f>IF('INGRESO DE DATOS'!$W$19=1,'Tablas Guyanas y Santa Elena'!C64,'Tablas Resto de Ecuador'!C64)</f>
        <v>34288</v>
      </c>
      <c r="L67" s="186">
        <f>IF('INGRESO DE DATOS'!$W$19=1,'Tablas Guyanas y Santa Elena'!D64,'Tablas Resto de Ecuador'!D64)</f>
        <v>32463</v>
      </c>
      <c r="M67" s="186">
        <f>IF('INGRESO DE DATOS'!$W$19=1,'Tablas Guyanas y Santa Elena'!E64,'Tablas Resto de Ecuador'!E64)</f>
        <v>30098</v>
      </c>
      <c r="N67" s="186">
        <f>IF('INGRESO DE DATOS'!$W$19=1,'Tablas Guyanas y Santa Elena'!F64,'Tablas Resto de Ecuador'!F64)</f>
        <v>28310</v>
      </c>
      <c r="O67" s="186">
        <f>IF('INGRESO DE DATOS'!$W$19=1,'Tablas Guyanas y Santa Elena'!G64,'Tablas Resto de Ecuador'!G64)</f>
        <v>18868</v>
      </c>
      <c r="P67" s="186">
        <f>IF('INGRESO DE DATOS'!$W$19=1,'Tablas Guyanas y Santa Elena'!H64,'Tablas Resto de Ecuador'!H64)</f>
        <v>14278</v>
      </c>
      <c r="Q67" s="186">
        <f>IF('INGRESO DE DATOS'!$W$19=1,'Tablas Guyanas y Santa Elena'!I64,'Tablas Resto de Ecuador'!I64)</f>
        <v>11972</v>
      </c>
      <c r="S67" s="188">
        <f t="shared" si="15"/>
        <v>34288</v>
      </c>
      <c r="T67" s="188">
        <f t="shared" si="16"/>
        <v>32463</v>
      </c>
      <c r="U67" s="188">
        <f t="shared" si="17"/>
        <v>30098</v>
      </c>
      <c r="V67" s="188">
        <f t="shared" si="18"/>
        <v>28310</v>
      </c>
      <c r="W67" s="188">
        <f t="shared" si="19"/>
        <v>18868</v>
      </c>
      <c r="X67" s="188">
        <f t="shared" si="20"/>
        <v>14278</v>
      </c>
      <c r="Y67" s="188">
        <f t="shared" si="21"/>
        <v>11972</v>
      </c>
    </row>
    <row r="68" spans="1:25" ht="14" x14ac:dyDescent="0.2">
      <c r="A68" s="189">
        <v>77</v>
      </c>
      <c r="B68" s="187"/>
      <c r="C68" s="190">
        <f t="shared" si="8"/>
        <v>36317</v>
      </c>
      <c r="D68" s="190">
        <f t="shared" si="9"/>
        <v>35477</v>
      </c>
      <c r="E68" s="190">
        <f t="shared" si="10"/>
        <v>33830</v>
      </c>
      <c r="F68" s="190">
        <f t="shared" si="11"/>
        <v>30834</v>
      </c>
      <c r="G68" s="190">
        <f t="shared" si="12"/>
        <v>21196</v>
      </c>
      <c r="H68" s="190">
        <f t="shared" si="13"/>
        <v>15963</v>
      </c>
      <c r="I68" s="190">
        <f t="shared" si="14"/>
        <v>12844</v>
      </c>
      <c r="K68" s="186">
        <f>IF('INGRESO DE DATOS'!$W$19=1,'Tablas Guyanas y Santa Elena'!C65,'Tablas Resto de Ecuador'!C65)</f>
        <v>36317</v>
      </c>
      <c r="L68" s="186">
        <f>IF('INGRESO DE DATOS'!$W$19=1,'Tablas Guyanas y Santa Elena'!D65,'Tablas Resto de Ecuador'!D65)</f>
        <v>35477</v>
      </c>
      <c r="M68" s="186">
        <f>IF('INGRESO DE DATOS'!$W$19=1,'Tablas Guyanas y Santa Elena'!E65,'Tablas Resto de Ecuador'!E65)</f>
        <v>33830</v>
      </c>
      <c r="N68" s="186">
        <f>IF('INGRESO DE DATOS'!$W$19=1,'Tablas Guyanas y Santa Elena'!F65,'Tablas Resto de Ecuador'!F65)</f>
        <v>30834</v>
      </c>
      <c r="O68" s="186">
        <f>IF('INGRESO DE DATOS'!$W$19=1,'Tablas Guyanas y Santa Elena'!G65,'Tablas Resto de Ecuador'!G65)</f>
        <v>21196</v>
      </c>
      <c r="P68" s="186">
        <f>IF('INGRESO DE DATOS'!$W$19=1,'Tablas Guyanas y Santa Elena'!H65,'Tablas Resto de Ecuador'!H65)</f>
        <v>15963</v>
      </c>
      <c r="Q68" s="186">
        <f>IF('INGRESO DE DATOS'!$W$19=1,'Tablas Guyanas y Santa Elena'!I65,'Tablas Resto de Ecuador'!I65)</f>
        <v>12844</v>
      </c>
      <c r="S68" s="188">
        <f t="shared" si="15"/>
        <v>36317</v>
      </c>
      <c r="T68" s="188">
        <f t="shared" si="16"/>
        <v>35477</v>
      </c>
      <c r="U68" s="188">
        <f t="shared" si="17"/>
        <v>33830</v>
      </c>
      <c r="V68" s="188">
        <f t="shared" si="18"/>
        <v>30834</v>
      </c>
      <c r="W68" s="188">
        <f t="shared" si="19"/>
        <v>21196</v>
      </c>
      <c r="X68" s="188">
        <f t="shared" si="20"/>
        <v>15963</v>
      </c>
      <c r="Y68" s="188">
        <f t="shared" si="21"/>
        <v>12844</v>
      </c>
    </row>
    <row r="69" spans="1:25" ht="14" x14ac:dyDescent="0.2">
      <c r="A69" s="189">
        <v>78</v>
      </c>
      <c r="B69" s="187"/>
      <c r="C69" s="190">
        <f t="shared" si="8"/>
        <v>38421</v>
      </c>
      <c r="D69" s="190">
        <f t="shared" si="9"/>
        <v>37573</v>
      </c>
      <c r="E69" s="190">
        <f t="shared" si="10"/>
        <v>36106</v>
      </c>
      <c r="F69" s="190">
        <f t="shared" si="11"/>
        <v>32804</v>
      </c>
      <c r="G69" s="190">
        <f t="shared" si="12"/>
        <v>23813</v>
      </c>
      <c r="H69" s="190">
        <f t="shared" si="13"/>
        <v>17141</v>
      </c>
      <c r="I69" s="190">
        <f t="shared" si="14"/>
        <v>13750</v>
      </c>
      <c r="K69" s="186">
        <f>IF('INGRESO DE DATOS'!$W$19=1,'Tablas Guyanas y Santa Elena'!C66,'Tablas Resto de Ecuador'!C66)</f>
        <v>38421</v>
      </c>
      <c r="L69" s="186">
        <f>IF('INGRESO DE DATOS'!$W$19=1,'Tablas Guyanas y Santa Elena'!D66,'Tablas Resto de Ecuador'!D66)</f>
        <v>37573</v>
      </c>
      <c r="M69" s="186">
        <f>IF('INGRESO DE DATOS'!$W$19=1,'Tablas Guyanas y Santa Elena'!E66,'Tablas Resto de Ecuador'!E66)</f>
        <v>36106</v>
      </c>
      <c r="N69" s="186">
        <f>IF('INGRESO DE DATOS'!$W$19=1,'Tablas Guyanas y Santa Elena'!F66,'Tablas Resto de Ecuador'!F66)</f>
        <v>32804</v>
      </c>
      <c r="O69" s="186">
        <f>IF('INGRESO DE DATOS'!$W$19=1,'Tablas Guyanas y Santa Elena'!G66,'Tablas Resto de Ecuador'!G66)</f>
        <v>23813</v>
      </c>
      <c r="P69" s="186">
        <f>IF('INGRESO DE DATOS'!$W$19=1,'Tablas Guyanas y Santa Elena'!H66,'Tablas Resto de Ecuador'!H66)</f>
        <v>17141</v>
      </c>
      <c r="Q69" s="186">
        <f>IF('INGRESO DE DATOS'!$W$19=1,'Tablas Guyanas y Santa Elena'!I66,'Tablas Resto de Ecuador'!I66)</f>
        <v>13750</v>
      </c>
      <c r="S69" s="188">
        <f t="shared" si="15"/>
        <v>38421</v>
      </c>
      <c r="T69" s="188">
        <f t="shared" si="16"/>
        <v>37573</v>
      </c>
      <c r="U69" s="188">
        <f t="shared" si="17"/>
        <v>36106</v>
      </c>
      <c r="V69" s="188">
        <f t="shared" si="18"/>
        <v>32804</v>
      </c>
      <c r="W69" s="188">
        <f t="shared" si="19"/>
        <v>23813</v>
      </c>
      <c r="X69" s="188">
        <f t="shared" si="20"/>
        <v>17141</v>
      </c>
      <c r="Y69" s="188">
        <f t="shared" si="21"/>
        <v>13750</v>
      </c>
    </row>
    <row r="70" spans="1:25" ht="14" x14ac:dyDescent="0.2">
      <c r="A70" s="189">
        <v>79</v>
      </c>
      <c r="B70" s="187"/>
      <c r="C70" s="190">
        <f t="shared" si="8"/>
        <v>40602</v>
      </c>
      <c r="D70" s="190">
        <f t="shared" si="9"/>
        <v>39746</v>
      </c>
      <c r="E70" s="190">
        <f t="shared" si="10"/>
        <v>38278</v>
      </c>
      <c r="F70" s="190">
        <f t="shared" si="11"/>
        <v>34850</v>
      </c>
      <c r="G70" s="190">
        <f t="shared" si="12"/>
        <v>26759</v>
      </c>
      <c r="H70" s="190">
        <f t="shared" si="13"/>
        <v>18366</v>
      </c>
      <c r="I70" s="190">
        <f t="shared" si="14"/>
        <v>14679</v>
      </c>
      <c r="K70" s="186">
        <f>IF('INGRESO DE DATOS'!$W$19=1,'Tablas Guyanas y Santa Elena'!C67,'Tablas Resto de Ecuador'!C67)</f>
        <v>40602</v>
      </c>
      <c r="L70" s="186">
        <f>IF('INGRESO DE DATOS'!$W$19=1,'Tablas Guyanas y Santa Elena'!D67,'Tablas Resto de Ecuador'!D67)</f>
        <v>39746</v>
      </c>
      <c r="M70" s="186">
        <f>IF('INGRESO DE DATOS'!$W$19=1,'Tablas Guyanas y Santa Elena'!E67,'Tablas Resto de Ecuador'!E67)</f>
        <v>38278</v>
      </c>
      <c r="N70" s="186">
        <f>IF('INGRESO DE DATOS'!$W$19=1,'Tablas Guyanas y Santa Elena'!F67,'Tablas Resto de Ecuador'!F67)</f>
        <v>34850</v>
      </c>
      <c r="O70" s="186">
        <f>IF('INGRESO DE DATOS'!$W$19=1,'Tablas Guyanas y Santa Elena'!G67,'Tablas Resto de Ecuador'!G67)</f>
        <v>26759</v>
      </c>
      <c r="P70" s="186">
        <f>IF('INGRESO DE DATOS'!$W$19=1,'Tablas Guyanas y Santa Elena'!H67,'Tablas Resto de Ecuador'!H67)</f>
        <v>18366</v>
      </c>
      <c r="Q70" s="186">
        <f>IF('INGRESO DE DATOS'!$W$19=1,'Tablas Guyanas y Santa Elena'!I67,'Tablas Resto de Ecuador'!I67)</f>
        <v>14679</v>
      </c>
      <c r="S70" s="188">
        <f t="shared" si="15"/>
        <v>40602</v>
      </c>
      <c r="T70" s="188">
        <f t="shared" si="16"/>
        <v>39746</v>
      </c>
      <c r="U70" s="188">
        <f t="shared" si="17"/>
        <v>38278</v>
      </c>
      <c r="V70" s="188">
        <f t="shared" si="18"/>
        <v>34850</v>
      </c>
      <c r="W70" s="188">
        <f t="shared" si="19"/>
        <v>26759</v>
      </c>
      <c r="X70" s="188">
        <f t="shared" si="20"/>
        <v>18366</v>
      </c>
      <c r="Y70" s="188">
        <f t="shared" si="21"/>
        <v>14679</v>
      </c>
    </row>
    <row r="71" spans="1:25" ht="14" x14ac:dyDescent="0.2">
      <c r="A71" s="189">
        <v>80</v>
      </c>
      <c r="B71" s="187"/>
      <c r="C71" s="190">
        <f t="shared" si="8"/>
        <v>42861</v>
      </c>
      <c r="D71" s="190">
        <f t="shared" si="9"/>
        <v>41996</v>
      </c>
      <c r="E71" s="190">
        <f t="shared" si="10"/>
        <v>40529</v>
      </c>
      <c r="F71" s="190">
        <f t="shared" si="11"/>
        <v>36972</v>
      </c>
      <c r="G71" s="190">
        <f t="shared" si="12"/>
        <v>29370</v>
      </c>
      <c r="H71" s="190">
        <f t="shared" si="13"/>
        <v>20381</v>
      </c>
      <c r="I71" s="190">
        <f t="shared" si="14"/>
        <v>15613</v>
      </c>
      <c r="K71" s="186">
        <f>IF('INGRESO DE DATOS'!$W$19=1,'Tablas Guyanas y Santa Elena'!C68,'Tablas Resto de Ecuador'!C68)</f>
        <v>42861</v>
      </c>
      <c r="L71" s="186">
        <f>IF('INGRESO DE DATOS'!$W$19=1,'Tablas Guyanas y Santa Elena'!D68,'Tablas Resto de Ecuador'!D68)</f>
        <v>41996</v>
      </c>
      <c r="M71" s="186">
        <f>IF('INGRESO DE DATOS'!$W$19=1,'Tablas Guyanas y Santa Elena'!E68,'Tablas Resto de Ecuador'!E68)</f>
        <v>40529</v>
      </c>
      <c r="N71" s="186">
        <f>IF('INGRESO DE DATOS'!$W$19=1,'Tablas Guyanas y Santa Elena'!F68,'Tablas Resto de Ecuador'!F68)</f>
        <v>36972</v>
      </c>
      <c r="O71" s="186">
        <f>IF('INGRESO DE DATOS'!$W$19=1,'Tablas Guyanas y Santa Elena'!G68,'Tablas Resto de Ecuador'!G68)</f>
        <v>29370</v>
      </c>
      <c r="P71" s="186">
        <f>IF('INGRESO DE DATOS'!$W$19=1,'Tablas Guyanas y Santa Elena'!H68,'Tablas Resto de Ecuador'!H68)</f>
        <v>20381</v>
      </c>
      <c r="Q71" s="186">
        <f>IF('INGRESO DE DATOS'!$W$19=1,'Tablas Guyanas y Santa Elena'!I68,'Tablas Resto de Ecuador'!I68)</f>
        <v>15613</v>
      </c>
      <c r="S71" s="188">
        <f t="shared" si="15"/>
        <v>42861</v>
      </c>
      <c r="T71" s="188">
        <f t="shared" si="16"/>
        <v>41996</v>
      </c>
      <c r="U71" s="188">
        <f t="shared" si="17"/>
        <v>40529</v>
      </c>
      <c r="V71" s="188">
        <f t="shared" si="18"/>
        <v>36972</v>
      </c>
      <c r="W71" s="188">
        <f t="shared" si="19"/>
        <v>29370</v>
      </c>
      <c r="X71" s="188">
        <f t="shared" si="20"/>
        <v>20381</v>
      </c>
      <c r="Y71" s="188">
        <f t="shared" si="21"/>
        <v>15613</v>
      </c>
    </row>
    <row r="72" spans="1:25" ht="14" x14ac:dyDescent="0.2">
      <c r="A72" s="189">
        <v>81</v>
      </c>
      <c r="B72" s="187"/>
      <c r="C72" s="190">
        <f t="shared" si="8"/>
        <v>42861</v>
      </c>
      <c r="D72" s="190">
        <f t="shared" si="9"/>
        <v>41996</v>
      </c>
      <c r="E72" s="190">
        <f t="shared" si="10"/>
        <v>40529</v>
      </c>
      <c r="F72" s="190">
        <f t="shared" si="11"/>
        <v>36972</v>
      </c>
      <c r="G72" s="190">
        <f t="shared" si="12"/>
        <v>29370</v>
      </c>
      <c r="H72" s="190">
        <f t="shared" si="13"/>
        <v>20381</v>
      </c>
      <c r="I72" s="190">
        <f t="shared" si="14"/>
        <v>15613</v>
      </c>
      <c r="K72" s="186">
        <f>IF('INGRESO DE DATOS'!$W$19=1,'Tablas Guyanas y Santa Elena'!C69,'Tablas Resto de Ecuador'!C69)</f>
        <v>42861</v>
      </c>
      <c r="L72" s="186">
        <f>IF('INGRESO DE DATOS'!$W$19=1,'Tablas Guyanas y Santa Elena'!D69,'Tablas Resto de Ecuador'!D69)</f>
        <v>41996</v>
      </c>
      <c r="M72" s="186">
        <f>IF('INGRESO DE DATOS'!$W$19=1,'Tablas Guyanas y Santa Elena'!E69,'Tablas Resto de Ecuador'!E69)</f>
        <v>40529</v>
      </c>
      <c r="N72" s="186">
        <f>IF('INGRESO DE DATOS'!$W$19=1,'Tablas Guyanas y Santa Elena'!F69,'Tablas Resto de Ecuador'!F69)</f>
        <v>36972</v>
      </c>
      <c r="O72" s="186">
        <f>IF('INGRESO DE DATOS'!$W$19=1,'Tablas Guyanas y Santa Elena'!G69,'Tablas Resto de Ecuador'!G69)</f>
        <v>29370</v>
      </c>
      <c r="P72" s="186">
        <f>IF('INGRESO DE DATOS'!$W$19=1,'Tablas Guyanas y Santa Elena'!H69,'Tablas Resto de Ecuador'!H69)</f>
        <v>20381</v>
      </c>
      <c r="Q72" s="186">
        <f>IF('INGRESO DE DATOS'!$W$19=1,'Tablas Guyanas y Santa Elena'!I69,'Tablas Resto de Ecuador'!I69)</f>
        <v>15613</v>
      </c>
      <c r="S72" s="188">
        <f t="shared" si="15"/>
        <v>42861</v>
      </c>
      <c r="T72" s="188">
        <f t="shared" si="16"/>
        <v>41996</v>
      </c>
      <c r="U72" s="188">
        <f t="shared" si="17"/>
        <v>40529</v>
      </c>
      <c r="V72" s="188">
        <f t="shared" si="18"/>
        <v>36972</v>
      </c>
      <c r="W72" s="188">
        <f t="shared" si="19"/>
        <v>29370</v>
      </c>
      <c r="X72" s="188">
        <f t="shared" si="20"/>
        <v>20381</v>
      </c>
      <c r="Y72" s="188">
        <f t="shared" si="21"/>
        <v>15613</v>
      </c>
    </row>
    <row r="73" spans="1:25" ht="14" x14ac:dyDescent="0.2">
      <c r="A73" s="189">
        <v>82</v>
      </c>
      <c r="B73" s="187"/>
      <c r="C73" s="190">
        <f t="shared" si="8"/>
        <v>42861</v>
      </c>
      <c r="D73" s="190">
        <f t="shared" si="9"/>
        <v>41996</v>
      </c>
      <c r="E73" s="190">
        <f t="shared" si="10"/>
        <v>40529</v>
      </c>
      <c r="F73" s="190">
        <f t="shared" si="11"/>
        <v>36972</v>
      </c>
      <c r="G73" s="190">
        <f t="shared" si="12"/>
        <v>29370</v>
      </c>
      <c r="H73" s="190">
        <f t="shared" si="13"/>
        <v>20381</v>
      </c>
      <c r="I73" s="190">
        <f t="shared" si="14"/>
        <v>15613</v>
      </c>
      <c r="K73" s="186">
        <f>IF('INGRESO DE DATOS'!$W$19=1,'Tablas Guyanas y Santa Elena'!C70,'Tablas Resto de Ecuador'!C70)</f>
        <v>42861</v>
      </c>
      <c r="L73" s="186">
        <f>IF('INGRESO DE DATOS'!$W$19=1,'Tablas Guyanas y Santa Elena'!D70,'Tablas Resto de Ecuador'!D70)</f>
        <v>41996</v>
      </c>
      <c r="M73" s="186">
        <f>IF('INGRESO DE DATOS'!$W$19=1,'Tablas Guyanas y Santa Elena'!E70,'Tablas Resto de Ecuador'!E70)</f>
        <v>40529</v>
      </c>
      <c r="N73" s="186">
        <f>IF('INGRESO DE DATOS'!$W$19=1,'Tablas Guyanas y Santa Elena'!F70,'Tablas Resto de Ecuador'!F70)</f>
        <v>36972</v>
      </c>
      <c r="O73" s="186">
        <f>IF('INGRESO DE DATOS'!$W$19=1,'Tablas Guyanas y Santa Elena'!G70,'Tablas Resto de Ecuador'!G70)</f>
        <v>29370</v>
      </c>
      <c r="P73" s="186">
        <f>IF('INGRESO DE DATOS'!$W$19=1,'Tablas Guyanas y Santa Elena'!H70,'Tablas Resto de Ecuador'!H70)</f>
        <v>20381</v>
      </c>
      <c r="Q73" s="186">
        <f>IF('INGRESO DE DATOS'!$W$19=1,'Tablas Guyanas y Santa Elena'!I70,'Tablas Resto de Ecuador'!I70)</f>
        <v>15613</v>
      </c>
      <c r="S73" s="188">
        <f t="shared" si="15"/>
        <v>42861</v>
      </c>
      <c r="T73" s="188">
        <f t="shared" si="16"/>
        <v>41996</v>
      </c>
      <c r="U73" s="188">
        <f t="shared" si="17"/>
        <v>40529</v>
      </c>
      <c r="V73" s="188">
        <f t="shared" si="18"/>
        <v>36972</v>
      </c>
      <c r="W73" s="188">
        <f t="shared" si="19"/>
        <v>29370</v>
      </c>
      <c r="X73" s="188">
        <f t="shared" si="20"/>
        <v>20381</v>
      </c>
      <c r="Y73" s="188">
        <f t="shared" si="21"/>
        <v>15613</v>
      </c>
    </row>
    <row r="74" spans="1:25" ht="14" x14ac:dyDescent="0.2">
      <c r="A74" s="189">
        <v>83</v>
      </c>
      <c r="B74" s="187"/>
      <c r="C74" s="190">
        <f t="shared" ref="C74:C78" si="22">S74*$AD$2</f>
        <v>42861</v>
      </c>
      <c r="D74" s="190">
        <f t="shared" ref="D74:D78" si="23">T74*$AD$2</f>
        <v>41996</v>
      </c>
      <c r="E74" s="190">
        <f t="shared" ref="E74:E78" si="24">U74*$AD$2</f>
        <v>40529</v>
      </c>
      <c r="F74" s="190">
        <f t="shared" ref="F74:F78" si="25">V74*$AD$2</f>
        <v>36972</v>
      </c>
      <c r="G74" s="190">
        <f t="shared" ref="G74:G78" si="26">W74*$AD$2</f>
        <v>29370</v>
      </c>
      <c r="H74" s="190">
        <f t="shared" ref="H74:H78" si="27">X74*$AD$2</f>
        <v>20381</v>
      </c>
      <c r="I74" s="190">
        <f t="shared" ref="I74:I78" si="28">Y74*$AD$2</f>
        <v>15613</v>
      </c>
      <c r="K74" s="186">
        <f>IF('INGRESO DE DATOS'!$W$19=1,'Tablas Guyanas y Santa Elena'!C71,'Tablas Resto de Ecuador'!C71)</f>
        <v>42861</v>
      </c>
      <c r="L74" s="186">
        <f>IF('INGRESO DE DATOS'!$W$19=1,'Tablas Guyanas y Santa Elena'!D71,'Tablas Resto de Ecuador'!D71)</f>
        <v>41996</v>
      </c>
      <c r="M74" s="186">
        <f>IF('INGRESO DE DATOS'!$W$19=1,'Tablas Guyanas y Santa Elena'!E71,'Tablas Resto de Ecuador'!E71)</f>
        <v>40529</v>
      </c>
      <c r="N74" s="186">
        <f>IF('INGRESO DE DATOS'!$W$19=1,'Tablas Guyanas y Santa Elena'!F71,'Tablas Resto de Ecuador'!F71)</f>
        <v>36972</v>
      </c>
      <c r="O74" s="186">
        <f>IF('INGRESO DE DATOS'!$W$19=1,'Tablas Guyanas y Santa Elena'!G71,'Tablas Resto de Ecuador'!G71)</f>
        <v>29370</v>
      </c>
      <c r="P74" s="186">
        <f>IF('INGRESO DE DATOS'!$W$19=1,'Tablas Guyanas y Santa Elena'!H71,'Tablas Resto de Ecuador'!H71)</f>
        <v>20381</v>
      </c>
      <c r="Q74" s="186">
        <f>IF('INGRESO DE DATOS'!$W$19=1,'Tablas Guyanas y Santa Elena'!I71,'Tablas Resto de Ecuador'!I71)</f>
        <v>15613</v>
      </c>
      <c r="S74" s="188">
        <f t="shared" ref="S74:S78" si="29">K74*$T$4</f>
        <v>42861</v>
      </c>
      <c r="T74" s="188">
        <f t="shared" ref="T74:T78" si="30">L74*$T$4</f>
        <v>41996</v>
      </c>
      <c r="U74" s="188">
        <f t="shared" ref="U74:U78" si="31">M74*$T$4</f>
        <v>40529</v>
      </c>
      <c r="V74" s="188">
        <f t="shared" ref="V74:V78" si="32">N74*$T$4</f>
        <v>36972</v>
      </c>
      <c r="W74" s="188">
        <f t="shared" ref="W74:W78" si="33">O74*$T$4</f>
        <v>29370</v>
      </c>
      <c r="X74" s="188">
        <f t="shared" ref="X74:X78" si="34">P74*$T$4</f>
        <v>20381</v>
      </c>
      <c r="Y74" s="188">
        <f t="shared" ref="Y74:Y78" si="35">Q74*$T$4</f>
        <v>15613</v>
      </c>
    </row>
    <row r="75" spans="1:25" s="54" customFormat="1" ht="14" x14ac:dyDescent="0.2">
      <c r="A75" s="189">
        <v>84</v>
      </c>
      <c r="B75" s="187" t="s">
        <v>134</v>
      </c>
      <c r="C75" s="190">
        <f t="shared" si="22"/>
        <v>42861</v>
      </c>
      <c r="D75" s="190">
        <f t="shared" si="23"/>
        <v>41996</v>
      </c>
      <c r="E75" s="190">
        <f t="shared" si="24"/>
        <v>40529</v>
      </c>
      <c r="F75" s="190">
        <f t="shared" si="25"/>
        <v>36972</v>
      </c>
      <c r="G75" s="190">
        <f t="shared" si="26"/>
        <v>29370</v>
      </c>
      <c r="H75" s="190">
        <f t="shared" si="27"/>
        <v>20381</v>
      </c>
      <c r="I75" s="190">
        <f t="shared" si="28"/>
        <v>15613</v>
      </c>
      <c r="K75" s="186">
        <f>IF('INGRESO DE DATOS'!$W$19=1,'Tablas Guyanas y Santa Elena'!C72,'Tablas Resto de Ecuador'!C72)</f>
        <v>42861</v>
      </c>
      <c r="L75" s="186">
        <f>IF('INGRESO DE DATOS'!$W$19=1,'Tablas Guyanas y Santa Elena'!D72,'Tablas Resto de Ecuador'!D72)</f>
        <v>41996</v>
      </c>
      <c r="M75" s="186">
        <f>IF('INGRESO DE DATOS'!$W$19=1,'Tablas Guyanas y Santa Elena'!E72,'Tablas Resto de Ecuador'!E72)</f>
        <v>40529</v>
      </c>
      <c r="N75" s="186">
        <f>IF('INGRESO DE DATOS'!$W$19=1,'Tablas Guyanas y Santa Elena'!F72,'Tablas Resto de Ecuador'!F72)</f>
        <v>36972</v>
      </c>
      <c r="O75" s="186">
        <f>IF('INGRESO DE DATOS'!$W$19=1,'Tablas Guyanas y Santa Elena'!G72,'Tablas Resto de Ecuador'!G72)</f>
        <v>29370</v>
      </c>
      <c r="P75" s="186">
        <f>IF('INGRESO DE DATOS'!$W$19=1,'Tablas Guyanas y Santa Elena'!H72,'Tablas Resto de Ecuador'!H72)</f>
        <v>20381</v>
      </c>
      <c r="Q75" s="186">
        <f>IF('INGRESO DE DATOS'!$W$19=1,'Tablas Guyanas y Santa Elena'!I72,'Tablas Resto de Ecuador'!I72)</f>
        <v>15613</v>
      </c>
      <c r="R75" s="52"/>
      <c r="S75" s="188">
        <f t="shared" si="29"/>
        <v>42861</v>
      </c>
      <c r="T75" s="188">
        <f t="shared" si="30"/>
        <v>41996</v>
      </c>
      <c r="U75" s="188">
        <f t="shared" si="31"/>
        <v>40529</v>
      </c>
      <c r="V75" s="188">
        <f t="shared" si="32"/>
        <v>36972</v>
      </c>
      <c r="W75" s="188">
        <f t="shared" si="33"/>
        <v>29370</v>
      </c>
      <c r="X75" s="188">
        <f t="shared" si="34"/>
        <v>20381</v>
      </c>
      <c r="Y75" s="188">
        <f t="shared" si="35"/>
        <v>15613</v>
      </c>
    </row>
    <row r="76" spans="1:25" ht="14" x14ac:dyDescent="0.2">
      <c r="A76" s="189">
        <v>1</v>
      </c>
      <c r="B76" s="187" t="s">
        <v>135</v>
      </c>
      <c r="C76" s="190">
        <f t="shared" si="22"/>
        <v>1154</v>
      </c>
      <c r="D76" s="190">
        <f t="shared" si="23"/>
        <v>1114</v>
      </c>
      <c r="E76" s="190">
        <f t="shared" si="24"/>
        <v>750</v>
      </c>
      <c r="F76" s="190">
        <f t="shared" si="25"/>
        <v>670</v>
      </c>
      <c r="G76" s="190">
        <f t="shared" si="26"/>
        <v>468</v>
      </c>
      <c r="H76" s="190">
        <f t="shared" si="27"/>
        <v>368</v>
      </c>
      <c r="I76" s="190">
        <f t="shared" si="28"/>
        <v>225</v>
      </c>
      <c r="K76" s="186">
        <f>IF('INGRESO DE DATOS'!$W$19=1,'Tablas Guyanas y Santa Elena'!C73,'Tablas Resto de Ecuador'!C73)</f>
        <v>1154</v>
      </c>
      <c r="L76" s="186">
        <f>IF('INGRESO DE DATOS'!$W$19=1,'Tablas Guyanas y Santa Elena'!D73,'Tablas Resto de Ecuador'!D73)</f>
        <v>1114</v>
      </c>
      <c r="M76" s="186">
        <f>IF('INGRESO DE DATOS'!$W$19=1,'Tablas Guyanas y Santa Elena'!E73,'Tablas Resto de Ecuador'!E73)</f>
        <v>750</v>
      </c>
      <c r="N76" s="186">
        <f>IF('INGRESO DE DATOS'!$W$19=1,'Tablas Guyanas y Santa Elena'!F73,'Tablas Resto de Ecuador'!F73)</f>
        <v>670</v>
      </c>
      <c r="O76" s="186">
        <f>IF('INGRESO DE DATOS'!$W$19=1,'Tablas Guyanas y Santa Elena'!G73,'Tablas Resto de Ecuador'!G73)</f>
        <v>468</v>
      </c>
      <c r="P76" s="186">
        <f>IF('INGRESO DE DATOS'!$W$19=1,'Tablas Guyanas y Santa Elena'!H73,'Tablas Resto de Ecuador'!H73)</f>
        <v>368</v>
      </c>
      <c r="Q76" s="186">
        <f>IF('INGRESO DE DATOS'!$W$19=1,'Tablas Guyanas y Santa Elena'!I73,'Tablas Resto de Ecuador'!I73)</f>
        <v>225</v>
      </c>
      <c r="S76" s="188">
        <f t="shared" si="29"/>
        <v>1154</v>
      </c>
      <c r="T76" s="188">
        <f t="shared" si="30"/>
        <v>1114</v>
      </c>
      <c r="U76" s="188">
        <f t="shared" si="31"/>
        <v>750</v>
      </c>
      <c r="V76" s="188">
        <f t="shared" si="32"/>
        <v>670</v>
      </c>
      <c r="W76" s="188">
        <f t="shared" si="33"/>
        <v>468</v>
      </c>
      <c r="X76" s="188">
        <f t="shared" si="34"/>
        <v>368</v>
      </c>
      <c r="Y76" s="188">
        <f t="shared" si="35"/>
        <v>225</v>
      </c>
    </row>
    <row r="77" spans="1:25" ht="14" x14ac:dyDescent="0.2">
      <c r="A77" s="189">
        <v>2</v>
      </c>
      <c r="B77" s="187" t="s">
        <v>136</v>
      </c>
      <c r="C77" s="190">
        <f t="shared" si="22"/>
        <v>2210</v>
      </c>
      <c r="D77" s="190">
        <f t="shared" si="23"/>
        <v>2136</v>
      </c>
      <c r="E77" s="190">
        <f t="shared" si="24"/>
        <v>1431</v>
      </c>
      <c r="F77" s="190">
        <f t="shared" si="25"/>
        <v>1268</v>
      </c>
      <c r="G77" s="190">
        <f t="shared" si="26"/>
        <v>772</v>
      </c>
      <c r="H77" s="190">
        <f t="shared" si="27"/>
        <v>476</v>
      </c>
      <c r="I77" s="190">
        <f t="shared" si="28"/>
        <v>360</v>
      </c>
      <c r="K77" s="186">
        <f>IF('INGRESO DE DATOS'!$W$19=1,'Tablas Guyanas y Santa Elena'!C74,'Tablas Resto de Ecuador'!C74)</f>
        <v>2210</v>
      </c>
      <c r="L77" s="186">
        <f>IF('INGRESO DE DATOS'!$W$19=1,'Tablas Guyanas y Santa Elena'!D74,'Tablas Resto de Ecuador'!D74)</f>
        <v>2136</v>
      </c>
      <c r="M77" s="186">
        <f>IF('INGRESO DE DATOS'!$W$19=1,'Tablas Guyanas y Santa Elena'!E74,'Tablas Resto de Ecuador'!E74)</f>
        <v>1431</v>
      </c>
      <c r="N77" s="186">
        <f>IF('INGRESO DE DATOS'!$W$19=1,'Tablas Guyanas y Santa Elena'!F74,'Tablas Resto de Ecuador'!F74)</f>
        <v>1268</v>
      </c>
      <c r="O77" s="186">
        <f>IF('INGRESO DE DATOS'!$W$19=1,'Tablas Guyanas y Santa Elena'!G74,'Tablas Resto de Ecuador'!G74)</f>
        <v>772</v>
      </c>
      <c r="P77" s="186">
        <f>IF('INGRESO DE DATOS'!$W$19=1,'Tablas Guyanas y Santa Elena'!H74,'Tablas Resto de Ecuador'!H74)</f>
        <v>476</v>
      </c>
      <c r="Q77" s="186">
        <f>IF('INGRESO DE DATOS'!$W$19=1,'Tablas Guyanas y Santa Elena'!I74,'Tablas Resto de Ecuador'!I74)</f>
        <v>360</v>
      </c>
      <c r="S77" s="188">
        <f t="shared" si="29"/>
        <v>2210</v>
      </c>
      <c r="T77" s="188">
        <f t="shared" si="30"/>
        <v>2136</v>
      </c>
      <c r="U77" s="188">
        <f t="shared" si="31"/>
        <v>1431</v>
      </c>
      <c r="V77" s="188">
        <f t="shared" si="32"/>
        <v>1268</v>
      </c>
      <c r="W77" s="188">
        <f t="shared" si="33"/>
        <v>772</v>
      </c>
      <c r="X77" s="188">
        <f t="shared" si="34"/>
        <v>476</v>
      </c>
      <c r="Y77" s="188">
        <f t="shared" si="35"/>
        <v>360</v>
      </c>
    </row>
    <row r="78" spans="1:25" ht="14" x14ac:dyDescent="0.2">
      <c r="A78" s="189">
        <v>3</v>
      </c>
      <c r="B78" s="187" t="s">
        <v>137</v>
      </c>
      <c r="C78" s="190">
        <f t="shared" si="22"/>
        <v>3206</v>
      </c>
      <c r="D78" s="190">
        <f t="shared" si="23"/>
        <v>3112</v>
      </c>
      <c r="E78" s="190">
        <f t="shared" si="24"/>
        <v>2072</v>
      </c>
      <c r="F78" s="190">
        <f t="shared" si="25"/>
        <v>1825</v>
      </c>
      <c r="G78" s="190">
        <f t="shared" si="26"/>
        <v>1072</v>
      </c>
      <c r="H78" s="190">
        <f t="shared" si="27"/>
        <v>688</v>
      </c>
      <c r="I78" s="190">
        <f t="shared" si="28"/>
        <v>540</v>
      </c>
      <c r="K78" s="186">
        <f>IF('INGRESO DE DATOS'!$W$19=1,'Tablas Guyanas y Santa Elena'!C75,'Tablas Resto de Ecuador'!C75)</f>
        <v>3206</v>
      </c>
      <c r="L78" s="186">
        <f>IF('INGRESO DE DATOS'!$W$19=1,'Tablas Guyanas y Santa Elena'!D75,'Tablas Resto de Ecuador'!D75)</f>
        <v>3112</v>
      </c>
      <c r="M78" s="186">
        <f>IF('INGRESO DE DATOS'!$W$19=1,'Tablas Guyanas y Santa Elena'!E75,'Tablas Resto de Ecuador'!E75)</f>
        <v>2072</v>
      </c>
      <c r="N78" s="186">
        <f>IF('INGRESO DE DATOS'!$W$19=1,'Tablas Guyanas y Santa Elena'!F75,'Tablas Resto de Ecuador'!F75)</f>
        <v>1825</v>
      </c>
      <c r="O78" s="186">
        <f>IF('INGRESO DE DATOS'!$W$19=1,'Tablas Guyanas y Santa Elena'!G75,'Tablas Resto de Ecuador'!G75)</f>
        <v>1072</v>
      </c>
      <c r="P78" s="186">
        <f>IF('INGRESO DE DATOS'!$W$19=1,'Tablas Guyanas y Santa Elena'!H75,'Tablas Resto de Ecuador'!H75)</f>
        <v>688</v>
      </c>
      <c r="Q78" s="186">
        <f>IF('INGRESO DE DATOS'!$W$19=1,'Tablas Guyanas y Santa Elena'!I75,'Tablas Resto de Ecuador'!I75)</f>
        <v>540</v>
      </c>
      <c r="S78" s="188">
        <f t="shared" si="29"/>
        <v>3206</v>
      </c>
      <c r="T78" s="188">
        <f t="shared" si="30"/>
        <v>3112</v>
      </c>
      <c r="U78" s="188">
        <f t="shared" si="31"/>
        <v>2072</v>
      </c>
      <c r="V78" s="188">
        <f t="shared" si="32"/>
        <v>1825</v>
      </c>
      <c r="W78" s="188">
        <f t="shared" si="33"/>
        <v>1072</v>
      </c>
      <c r="X78" s="188">
        <f t="shared" si="34"/>
        <v>688</v>
      </c>
      <c r="Y78" s="188">
        <f t="shared" si="35"/>
        <v>540</v>
      </c>
    </row>
    <row r="79" spans="1:25" ht="15" x14ac:dyDescent="0.2">
      <c r="K79" s="56"/>
      <c r="L79" s="56"/>
      <c r="M79" s="56"/>
      <c r="N79" s="56"/>
    </row>
    <row r="80" spans="1:25" ht="18" x14ac:dyDescent="0.2">
      <c r="A80" s="584" t="s">
        <v>138</v>
      </c>
      <c r="B80" s="585"/>
      <c r="C80" s="585"/>
      <c r="D80" s="585"/>
      <c r="E80" s="585"/>
      <c r="F80" s="585"/>
      <c r="G80" s="585"/>
      <c r="H80" s="585"/>
      <c r="I80" s="585"/>
    </row>
    <row r="81" spans="1:25" ht="18" x14ac:dyDescent="0.2">
      <c r="A81" s="586" t="s">
        <v>70</v>
      </c>
      <c r="B81" s="587"/>
      <c r="C81" s="587"/>
      <c r="D81" s="587"/>
      <c r="E81" s="587"/>
      <c r="F81" s="587"/>
      <c r="G81" s="587"/>
      <c r="H81" s="587"/>
      <c r="I81" s="587"/>
    </row>
    <row r="82" spans="1:25" x14ac:dyDescent="0.15">
      <c r="A82" s="589"/>
      <c r="B82" s="590"/>
      <c r="C82" s="590"/>
      <c r="D82" s="590"/>
      <c r="E82" s="590"/>
      <c r="F82" s="590"/>
      <c r="G82" s="590"/>
      <c r="H82" s="590"/>
      <c r="I82" s="590"/>
    </row>
    <row r="83" spans="1:25" x14ac:dyDescent="0.15">
      <c r="A83" s="595" t="s">
        <v>131</v>
      </c>
      <c r="B83" s="596"/>
      <c r="C83" s="204">
        <v>250</v>
      </c>
      <c r="D83" s="204">
        <v>500</v>
      </c>
      <c r="E83" s="204">
        <v>1000</v>
      </c>
      <c r="F83" s="204">
        <v>2000</v>
      </c>
      <c r="G83" s="204">
        <v>5000</v>
      </c>
      <c r="H83" s="213">
        <v>10000</v>
      </c>
      <c r="I83" s="211">
        <v>20000</v>
      </c>
      <c r="K83" s="588" t="s">
        <v>132</v>
      </c>
      <c r="L83" s="588"/>
      <c r="M83" s="588"/>
      <c r="N83" s="588"/>
      <c r="O83" s="588"/>
      <c r="P83" s="588"/>
      <c r="Q83" s="588"/>
      <c r="S83" s="588" t="s">
        <v>139</v>
      </c>
      <c r="T83" s="588"/>
      <c r="U83" s="588"/>
      <c r="V83" s="588"/>
      <c r="W83" s="588"/>
      <c r="X83" s="588"/>
      <c r="Y83" s="588"/>
    </row>
    <row r="84" spans="1:25" ht="14" x14ac:dyDescent="0.2">
      <c r="A84" s="189">
        <v>18</v>
      </c>
      <c r="B84" s="187"/>
      <c r="C84" s="190">
        <f>S84*$AD$2</f>
        <v>2941</v>
      </c>
      <c r="D84" s="190">
        <f t="shared" ref="D84" si="36">T84*$AD$2</f>
        <v>2515</v>
      </c>
      <c r="E84" s="190">
        <f t="shared" ref="E84" si="37">U84*$AD$2</f>
        <v>1874</v>
      </c>
      <c r="F84" s="190">
        <f t="shared" ref="F84" si="38">V84*$AD$2</f>
        <v>1292</v>
      </c>
      <c r="G84" s="190">
        <f t="shared" ref="G84" si="39">W84*$AD$2</f>
        <v>689</v>
      </c>
      <c r="H84" s="190">
        <f t="shared" ref="H84" si="40">X84*$AD$2</f>
        <v>387</v>
      </c>
      <c r="I84" s="190">
        <f t="shared" ref="I84" si="41">Y84*$AD$2</f>
        <v>254</v>
      </c>
      <c r="K84" s="186">
        <f>IF('INGRESO DE DATOS'!$W$19=1,'Tablas Guyanas y Santa Elena'!C81,'Tablas Resto de Ecuador'!C81)</f>
        <v>2941</v>
      </c>
      <c r="L84" s="186">
        <f>IF('INGRESO DE DATOS'!$W$19=1,'Tablas Guyanas y Santa Elena'!D81,'Tablas Resto de Ecuador'!D81)</f>
        <v>2515</v>
      </c>
      <c r="M84" s="186">
        <f>IF('INGRESO DE DATOS'!$W$19=1,'Tablas Guyanas y Santa Elena'!E81,'Tablas Resto de Ecuador'!E81)</f>
        <v>1874</v>
      </c>
      <c r="N84" s="186">
        <f>IF('INGRESO DE DATOS'!$W$19=1,'Tablas Guyanas y Santa Elena'!F81,'Tablas Resto de Ecuador'!F81)</f>
        <v>1292</v>
      </c>
      <c r="O84" s="186">
        <f>IF('INGRESO DE DATOS'!$W$19=1,'Tablas Guyanas y Santa Elena'!G81,'Tablas Resto de Ecuador'!G81)</f>
        <v>689</v>
      </c>
      <c r="P84" s="186">
        <f>IF('INGRESO DE DATOS'!$W$19=1,'Tablas Guyanas y Santa Elena'!H81,'Tablas Resto de Ecuador'!H81)</f>
        <v>387</v>
      </c>
      <c r="Q84" s="186">
        <f>IF('INGRESO DE DATOS'!$W$19=1,'Tablas Guyanas y Santa Elena'!I81,'Tablas Resto de Ecuador'!I81)</f>
        <v>254</v>
      </c>
      <c r="S84" s="188">
        <f>K84*$U$4</f>
        <v>2941</v>
      </c>
      <c r="T84" s="188">
        <f t="shared" ref="T84:Y84" si="42">L84*$U$4</f>
        <v>2515</v>
      </c>
      <c r="U84" s="188">
        <f t="shared" si="42"/>
        <v>1874</v>
      </c>
      <c r="V84" s="188">
        <f t="shared" si="42"/>
        <v>1292</v>
      </c>
      <c r="W84" s="188">
        <f t="shared" si="42"/>
        <v>689</v>
      </c>
      <c r="X84" s="188">
        <f t="shared" si="42"/>
        <v>387</v>
      </c>
      <c r="Y84" s="188">
        <f t="shared" si="42"/>
        <v>254</v>
      </c>
    </row>
    <row r="85" spans="1:25" ht="14" x14ac:dyDescent="0.2">
      <c r="A85" s="189">
        <v>19</v>
      </c>
      <c r="B85" s="187"/>
      <c r="C85" s="190">
        <f t="shared" ref="C85:C148" si="43">S85*$AD$2</f>
        <v>2989</v>
      </c>
      <c r="D85" s="190">
        <f t="shared" ref="D85:D148" si="44">T85*$AD$2</f>
        <v>2515</v>
      </c>
      <c r="E85" s="190">
        <f t="shared" ref="E85:E148" si="45">U85*$AD$2</f>
        <v>1874</v>
      </c>
      <c r="F85" s="190">
        <f t="shared" ref="F85:F148" si="46">V85*$AD$2</f>
        <v>1293</v>
      </c>
      <c r="G85" s="190">
        <f t="shared" ref="G85:G148" si="47">W85*$AD$2</f>
        <v>697</v>
      </c>
      <c r="H85" s="190">
        <f t="shared" ref="H85:H148" si="48">X85*$AD$2</f>
        <v>391</v>
      </c>
      <c r="I85" s="190">
        <f t="shared" ref="I85:I148" si="49">Y85*$AD$2</f>
        <v>259</v>
      </c>
      <c r="K85" s="186">
        <f>IF('INGRESO DE DATOS'!$W$19=1,'Tablas Guyanas y Santa Elena'!C82,'Tablas Resto de Ecuador'!C82)</f>
        <v>2989</v>
      </c>
      <c r="L85" s="186">
        <f>IF('INGRESO DE DATOS'!$W$19=1,'Tablas Guyanas y Santa Elena'!D82,'Tablas Resto de Ecuador'!D82)</f>
        <v>2515</v>
      </c>
      <c r="M85" s="186">
        <f>IF('INGRESO DE DATOS'!$W$19=1,'Tablas Guyanas y Santa Elena'!E82,'Tablas Resto de Ecuador'!E82)</f>
        <v>1874</v>
      </c>
      <c r="N85" s="186">
        <f>IF('INGRESO DE DATOS'!$W$19=1,'Tablas Guyanas y Santa Elena'!F82,'Tablas Resto de Ecuador'!F82)</f>
        <v>1293</v>
      </c>
      <c r="O85" s="186">
        <f>IF('INGRESO DE DATOS'!$W$19=1,'Tablas Guyanas y Santa Elena'!G82,'Tablas Resto de Ecuador'!G82)</f>
        <v>697</v>
      </c>
      <c r="P85" s="186">
        <f>IF('INGRESO DE DATOS'!$W$19=1,'Tablas Guyanas y Santa Elena'!H82,'Tablas Resto de Ecuador'!H82)</f>
        <v>391</v>
      </c>
      <c r="Q85" s="186">
        <f>IF('INGRESO DE DATOS'!$W$19=1,'Tablas Guyanas y Santa Elena'!I82,'Tablas Resto de Ecuador'!I82)</f>
        <v>259</v>
      </c>
      <c r="S85" s="188">
        <f t="shared" ref="S85:S148" si="50">K85*$U$4</f>
        <v>2989</v>
      </c>
      <c r="T85" s="188">
        <f t="shared" ref="T85:T148" si="51">L85*$U$4</f>
        <v>2515</v>
      </c>
      <c r="U85" s="188">
        <f t="shared" ref="U85:U148" si="52">M85*$U$4</f>
        <v>1874</v>
      </c>
      <c r="V85" s="188">
        <f t="shared" ref="V85:V148" si="53">N85*$U$4</f>
        <v>1293</v>
      </c>
      <c r="W85" s="188">
        <f t="shared" ref="W85:W148" si="54">O85*$U$4</f>
        <v>697</v>
      </c>
      <c r="X85" s="188">
        <f t="shared" ref="X85:X148" si="55">P85*$U$4</f>
        <v>391</v>
      </c>
      <c r="Y85" s="188">
        <f t="shared" ref="Y85:Y148" si="56">Q85*$U$4</f>
        <v>259</v>
      </c>
    </row>
    <row r="86" spans="1:25" ht="14" x14ac:dyDescent="0.2">
      <c r="A86" s="189">
        <v>20</v>
      </c>
      <c r="B86" s="187"/>
      <c r="C86" s="190">
        <f t="shared" si="43"/>
        <v>3041</v>
      </c>
      <c r="D86" s="190">
        <f t="shared" si="44"/>
        <v>2515</v>
      </c>
      <c r="E86" s="190">
        <f t="shared" si="45"/>
        <v>1874</v>
      </c>
      <c r="F86" s="190">
        <f t="shared" si="46"/>
        <v>1297</v>
      </c>
      <c r="G86" s="190">
        <f t="shared" si="47"/>
        <v>703</v>
      </c>
      <c r="H86" s="190">
        <f t="shared" si="48"/>
        <v>396</v>
      </c>
      <c r="I86" s="190">
        <f t="shared" si="49"/>
        <v>265</v>
      </c>
      <c r="K86" s="186">
        <f>IF('INGRESO DE DATOS'!$W$19=1,'Tablas Guyanas y Santa Elena'!C83,'Tablas Resto de Ecuador'!C83)</f>
        <v>3041</v>
      </c>
      <c r="L86" s="186">
        <f>IF('INGRESO DE DATOS'!$W$19=1,'Tablas Guyanas y Santa Elena'!D83,'Tablas Resto de Ecuador'!D83)</f>
        <v>2515</v>
      </c>
      <c r="M86" s="186">
        <f>IF('INGRESO DE DATOS'!$W$19=1,'Tablas Guyanas y Santa Elena'!E83,'Tablas Resto de Ecuador'!E83)</f>
        <v>1874</v>
      </c>
      <c r="N86" s="186">
        <f>IF('INGRESO DE DATOS'!$W$19=1,'Tablas Guyanas y Santa Elena'!F83,'Tablas Resto de Ecuador'!F83)</f>
        <v>1297</v>
      </c>
      <c r="O86" s="186">
        <f>IF('INGRESO DE DATOS'!$W$19=1,'Tablas Guyanas y Santa Elena'!G83,'Tablas Resto de Ecuador'!G83)</f>
        <v>703</v>
      </c>
      <c r="P86" s="186">
        <f>IF('INGRESO DE DATOS'!$W$19=1,'Tablas Guyanas y Santa Elena'!H83,'Tablas Resto de Ecuador'!H83)</f>
        <v>396</v>
      </c>
      <c r="Q86" s="186">
        <f>IF('INGRESO DE DATOS'!$W$19=1,'Tablas Guyanas y Santa Elena'!I83,'Tablas Resto de Ecuador'!I83)</f>
        <v>265</v>
      </c>
      <c r="S86" s="188">
        <f t="shared" si="50"/>
        <v>3041</v>
      </c>
      <c r="T86" s="188">
        <f t="shared" si="51"/>
        <v>2515</v>
      </c>
      <c r="U86" s="188">
        <f t="shared" si="52"/>
        <v>1874</v>
      </c>
      <c r="V86" s="188">
        <f t="shared" si="53"/>
        <v>1297</v>
      </c>
      <c r="W86" s="188">
        <f t="shared" si="54"/>
        <v>703</v>
      </c>
      <c r="X86" s="188">
        <f t="shared" si="55"/>
        <v>396</v>
      </c>
      <c r="Y86" s="188">
        <f t="shared" si="56"/>
        <v>265</v>
      </c>
    </row>
    <row r="87" spans="1:25" ht="14" x14ac:dyDescent="0.2">
      <c r="A87" s="189">
        <v>21</v>
      </c>
      <c r="B87" s="187"/>
      <c r="C87" s="190">
        <f t="shared" si="43"/>
        <v>3098</v>
      </c>
      <c r="D87" s="190">
        <f t="shared" si="44"/>
        <v>2515</v>
      </c>
      <c r="E87" s="190">
        <f t="shared" si="45"/>
        <v>1876</v>
      </c>
      <c r="F87" s="190">
        <f t="shared" si="46"/>
        <v>1306</v>
      </c>
      <c r="G87" s="190">
        <f t="shared" si="47"/>
        <v>713</v>
      </c>
      <c r="H87" s="190">
        <f t="shared" si="48"/>
        <v>405</v>
      </c>
      <c r="I87" s="190">
        <f t="shared" si="49"/>
        <v>273</v>
      </c>
      <c r="K87" s="186">
        <f>IF('INGRESO DE DATOS'!$W$19=1,'Tablas Guyanas y Santa Elena'!C84,'Tablas Resto de Ecuador'!C84)</f>
        <v>3098</v>
      </c>
      <c r="L87" s="186">
        <f>IF('INGRESO DE DATOS'!$W$19=1,'Tablas Guyanas y Santa Elena'!D84,'Tablas Resto de Ecuador'!D84)</f>
        <v>2515</v>
      </c>
      <c r="M87" s="186">
        <f>IF('INGRESO DE DATOS'!$W$19=1,'Tablas Guyanas y Santa Elena'!E84,'Tablas Resto de Ecuador'!E84)</f>
        <v>1876</v>
      </c>
      <c r="N87" s="186">
        <f>IF('INGRESO DE DATOS'!$W$19=1,'Tablas Guyanas y Santa Elena'!F84,'Tablas Resto de Ecuador'!F84)</f>
        <v>1306</v>
      </c>
      <c r="O87" s="186">
        <f>IF('INGRESO DE DATOS'!$W$19=1,'Tablas Guyanas y Santa Elena'!G84,'Tablas Resto de Ecuador'!G84)</f>
        <v>713</v>
      </c>
      <c r="P87" s="186">
        <f>IF('INGRESO DE DATOS'!$W$19=1,'Tablas Guyanas y Santa Elena'!H84,'Tablas Resto de Ecuador'!H84)</f>
        <v>405</v>
      </c>
      <c r="Q87" s="186">
        <f>IF('INGRESO DE DATOS'!$W$19=1,'Tablas Guyanas y Santa Elena'!I84,'Tablas Resto de Ecuador'!I84)</f>
        <v>273</v>
      </c>
      <c r="S87" s="188">
        <f t="shared" si="50"/>
        <v>3098</v>
      </c>
      <c r="T87" s="188">
        <f t="shared" si="51"/>
        <v>2515</v>
      </c>
      <c r="U87" s="188">
        <f t="shared" si="52"/>
        <v>1876</v>
      </c>
      <c r="V87" s="188">
        <f t="shared" si="53"/>
        <v>1306</v>
      </c>
      <c r="W87" s="188">
        <f t="shared" si="54"/>
        <v>713</v>
      </c>
      <c r="X87" s="188">
        <f t="shared" si="55"/>
        <v>405</v>
      </c>
      <c r="Y87" s="188">
        <f t="shared" si="56"/>
        <v>273</v>
      </c>
    </row>
    <row r="88" spans="1:25" ht="14" x14ac:dyDescent="0.2">
      <c r="A88" s="189">
        <v>22</v>
      </c>
      <c r="B88" s="187"/>
      <c r="C88" s="190">
        <f t="shared" si="43"/>
        <v>3149</v>
      </c>
      <c r="D88" s="190">
        <f t="shared" si="44"/>
        <v>2515</v>
      </c>
      <c r="E88" s="190">
        <f t="shared" si="45"/>
        <v>1883</v>
      </c>
      <c r="F88" s="190">
        <f t="shared" si="46"/>
        <v>1316</v>
      </c>
      <c r="G88" s="190">
        <f t="shared" si="47"/>
        <v>723</v>
      </c>
      <c r="H88" s="190">
        <f t="shared" si="48"/>
        <v>416</v>
      </c>
      <c r="I88" s="190">
        <f t="shared" si="49"/>
        <v>280</v>
      </c>
      <c r="K88" s="186">
        <f>IF('INGRESO DE DATOS'!$W$19=1,'Tablas Guyanas y Santa Elena'!C85,'Tablas Resto de Ecuador'!C85)</f>
        <v>3149</v>
      </c>
      <c r="L88" s="186">
        <f>IF('INGRESO DE DATOS'!$W$19=1,'Tablas Guyanas y Santa Elena'!D85,'Tablas Resto de Ecuador'!D85)</f>
        <v>2515</v>
      </c>
      <c r="M88" s="186">
        <f>IF('INGRESO DE DATOS'!$W$19=1,'Tablas Guyanas y Santa Elena'!E85,'Tablas Resto de Ecuador'!E85)</f>
        <v>1883</v>
      </c>
      <c r="N88" s="186">
        <f>IF('INGRESO DE DATOS'!$W$19=1,'Tablas Guyanas y Santa Elena'!F85,'Tablas Resto de Ecuador'!F85)</f>
        <v>1316</v>
      </c>
      <c r="O88" s="186">
        <f>IF('INGRESO DE DATOS'!$W$19=1,'Tablas Guyanas y Santa Elena'!G85,'Tablas Resto de Ecuador'!G85)</f>
        <v>723</v>
      </c>
      <c r="P88" s="186">
        <f>IF('INGRESO DE DATOS'!$W$19=1,'Tablas Guyanas y Santa Elena'!H85,'Tablas Resto de Ecuador'!H85)</f>
        <v>416</v>
      </c>
      <c r="Q88" s="186">
        <f>IF('INGRESO DE DATOS'!$W$19=1,'Tablas Guyanas y Santa Elena'!I85,'Tablas Resto de Ecuador'!I85)</f>
        <v>280</v>
      </c>
      <c r="S88" s="188">
        <f t="shared" si="50"/>
        <v>3149</v>
      </c>
      <c r="T88" s="188">
        <f t="shared" si="51"/>
        <v>2515</v>
      </c>
      <c r="U88" s="188">
        <f t="shared" si="52"/>
        <v>1883</v>
      </c>
      <c r="V88" s="188">
        <f t="shared" si="53"/>
        <v>1316</v>
      </c>
      <c r="W88" s="188">
        <f t="shared" si="54"/>
        <v>723</v>
      </c>
      <c r="X88" s="188">
        <f t="shared" si="55"/>
        <v>416</v>
      </c>
      <c r="Y88" s="188">
        <f t="shared" si="56"/>
        <v>280</v>
      </c>
    </row>
    <row r="89" spans="1:25" ht="14" x14ac:dyDescent="0.2">
      <c r="A89" s="189">
        <v>23</v>
      </c>
      <c r="B89" s="187"/>
      <c r="C89" s="190">
        <f t="shared" si="43"/>
        <v>3201</v>
      </c>
      <c r="D89" s="190">
        <f t="shared" si="44"/>
        <v>2522</v>
      </c>
      <c r="E89" s="190">
        <f t="shared" si="45"/>
        <v>1894</v>
      </c>
      <c r="F89" s="190">
        <f t="shared" si="46"/>
        <v>1330</v>
      </c>
      <c r="G89" s="190">
        <f t="shared" si="47"/>
        <v>735</v>
      </c>
      <c r="H89" s="190">
        <f t="shared" si="48"/>
        <v>430</v>
      </c>
      <c r="I89" s="190">
        <f t="shared" si="49"/>
        <v>286</v>
      </c>
      <c r="K89" s="186">
        <f>IF('INGRESO DE DATOS'!$W$19=1,'Tablas Guyanas y Santa Elena'!C86,'Tablas Resto de Ecuador'!C86)</f>
        <v>3201</v>
      </c>
      <c r="L89" s="186">
        <f>IF('INGRESO DE DATOS'!$W$19=1,'Tablas Guyanas y Santa Elena'!D86,'Tablas Resto de Ecuador'!D86)</f>
        <v>2522</v>
      </c>
      <c r="M89" s="186">
        <f>IF('INGRESO DE DATOS'!$W$19=1,'Tablas Guyanas y Santa Elena'!E86,'Tablas Resto de Ecuador'!E86)</f>
        <v>1894</v>
      </c>
      <c r="N89" s="186">
        <f>IF('INGRESO DE DATOS'!$W$19=1,'Tablas Guyanas y Santa Elena'!F86,'Tablas Resto de Ecuador'!F86)</f>
        <v>1330</v>
      </c>
      <c r="O89" s="186">
        <f>IF('INGRESO DE DATOS'!$W$19=1,'Tablas Guyanas y Santa Elena'!G86,'Tablas Resto de Ecuador'!G86)</f>
        <v>735</v>
      </c>
      <c r="P89" s="186">
        <f>IF('INGRESO DE DATOS'!$W$19=1,'Tablas Guyanas y Santa Elena'!H86,'Tablas Resto de Ecuador'!H86)</f>
        <v>430</v>
      </c>
      <c r="Q89" s="186">
        <f>IF('INGRESO DE DATOS'!$W$19=1,'Tablas Guyanas y Santa Elena'!I86,'Tablas Resto de Ecuador'!I86)</f>
        <v>286</v>
      </c>
      <c r="S89" s="188">
        <f t="shared" si="50"/>
        <v>3201</v>
      </c>
      <c r="T89" s="188">
        <f t="shared" si="51"/>
        <v>2522</v>
      </c>
      <c r="U89" s="188">
        <f t="shared" si="52"/>
        <v>1894</v>
      </c>
      <c r="V89" s="188">
        <f t="shared" si="53"/>
        <v>1330</v>
      </c>
      <c r="W89" s="188">
        <f t="shared" si="54"/>
        <v>735</v>
      </c>
      <c r="X89" s="188">
        <f t="shared" si="55"/>
        <v>430</v>
      </c>
      <c r="Y89" s="188">
        <f t="shared" si="56"/>
        <v>286</v>
      </c>
    </row>
    <row r="90" spans="1:25" ht="14" x14ac:dyDescent="0.2">
      <c r="A90" s="189">
        <v>24</v>
      </c>
      <c r="B90" s="187"/>
      <c r="C90" s="190">
        <f t="shared" si="43"/>
        <v>3210</v>
      </c>
      <c r="D90" s="190">
        <f t="shared" si="44"/>
        <v>2532</v>
      </c>
      <c r="E90" s="190">
        <f t="shared" si="45"/>
        <v>1911</v>
      </c>
      <c r="F90" s="190">
        <f t="shared" si="46"/>
        <v>1346</v>
      </c>
      <c r="G90" s="190">
        <f t="shared" si="47"/>
        <v>750</v>
      </c>
      <c r="H90" s="190">
        <f t="shared" si="48"/>
        <v>444</v>
      </c>
      <c r="I90" s="190">
        <f t="shared" si="49"/>
        <v>296</v>
      </c>
      <c r="K90" s="186">
        <f>IF('INGRESO DE DATOS'!$W$19=1,'Tablas Guyanas y Santa Elena'!C87,'Tablas Resto de Ecuador'!C87)</f>
        <v>3210</v>
      </c>
      <c r="L90" s="186">
        <f>IF('INGRESO DE DATOS'!$W$19=1,'Tablas Guyanas y Santa Elena'!D87,'Tablas Resto de Ecuador'!D87)</f>
        <v>2532</v>
      </c>
      <c r="M90" s="186">
        <f>IF('INGRESO DE DATOS'!$W$19=1,'Tablas Guyanas y Santa Elena'!E87,'Tablas Resto de Ecuador'!E87)</f>
        <v>1911</v>
      </c>
      <c r="N90" s="186">
        <f>IF('INGRESO DE DATOS'!$W$19=1,'Tablas Guyanas y Santa Elena'!F87,'Tablas Resto de Ecuador'!F87)</f>
        <v>1346</v>
      </c>
      <c r="O90" s="186">
        <f>IF('INGRESO DE DATOS'!$W$19=1,'Tablas Guyanas y Santa Elena'!G87,'Tablas Resto de Ecuador'!G87)</f>
        <v>750</v>
      </c>
      <c r="P90" s="186">
        <f>IF('INGRESO DE DATOS'!$W$19=1,'Tablas Guyanas y Santa Elena'!H87,'Tablas Resto de Ecuador'!H87)</f>
        <v>444</v>
      </c>
      <c r="Q90" s="186">
        <f>IF('INGRESO DE DATOS'!$W$19=1,'Tablas Guyanas y Santa Elena'!I87,'Tablas Resto de Ecuador'!I87)</f>
        <v>296</v>
      </c>
      <c r="S90" s="188">
        <f t="shared" si="50"/>
        <v>3210</v>
      </c>
      <c r="T90" s="188">
        <f t="shared" si="51"/>
        <v>2532</v>
      </c>
      <c r="U90" s="188">
        <f t="shared" si="52"/>
        <v>1911</v>
      </c>
      <c r="V90" s="188">
        <f t="shared" si="53"/>
        <v>1346</v>
      </c>
      <c r="W90" s="188">
        <f t="shared" si="54"/>
        <v>750</v>
      </c>
      <c r="X90" s="188">
        <f t="shared" si="55"/>
        <v>444</v>
      </c>
      <c r="Y90" s="188">
        <f t="shared" si="56"/>
        <v>296</v>
      </c>
    </row>
    <row r="91" spans="1:25" ht="14" x14ac:dyDescent="0.2">
      <c r="A91" s="189">
        <v>25</v>
      </c>
      <c r="B91" s="187"/>
      <c r="C91" s="190">
        <f t="shared" si="43"/>
        <v>3225</v>
      </c>
      <c r="D91" s="190">
        <f t="shared" si="44"/>
        <v>2551</v>
      </c>
      <c r="E91" s="190">
        <f t="shared" si="45"/>
        <v>1930</v>
      </c>
      <c r="F91" s="190">
        <f t="shared" si="46"/>
        <v>1366</v>
      </c>
      <c r="G91" s="190">
        <f t="shared" si="47"/>
        <v>766</v>
      </c>
      <c r="H91" s="190">
        <f t="shared" si="48"/>
        <v>458</v>
      </c>
      <c r="I91" s="190">
        <f t="shared" si="49"/>
        <v>308</v>
      </c>
      <c r="K91" s="186">
        <f>IF('INGRESO DE DATOS'!$W$19=1,'Tablas Guyanas y Santa Elena'!C88,'Tablas Resto de Ecuador'!C88)</f>
        <v>3225</v>
      </c>
      <c r="L91" s="186">
        <f>IF('INGRESO DE DATOS'!$W$19=1,'Tablas Guyanas y Santa Elena'!D88,'Tablas Resto de Ecuador'!D88)</f>
        <v>2551</v>
      </c>
      <c r="M91" s="186">
        <f>IF('INGRESO DE DATOS'!$W$19=1,'Tablas Guyanas y Santa Elena'!E88,'Tablas Resto de Ecuador'!E88)</f>
        <v>1930</v>
      </c>
      <c r="N91" s="186">
        <f>IF('INGRESO DE DATOS'!$W$19=1,'Tablas Guyanas y Santa Elena'!F88,'Tablas Resto de Ecuador'!F88)</f>
        <v>1366</v>
      </c>
      <c r="O91" s="186">
        <f>IF('INGRESO DE DATOS'!$W$19=1,'Tablas Guyanas y Santa Elena'!G88,'Tablas Resto de Ecuador'!G88)</f>
        <v>766</v>
      </c>
      <c r="P91" s="186">
        <f>IF('INGRESO DE DATOS'!$W$19=1,'Tablas Guyanas y Santa Elena'!H88,'Tablas Resto de Ecuador'!H88)</f>
        <v>458</v>
      </c>
      <c r="Q91" s="186">
        <f>IF('INGRESO DE DATOS'!$W$19=1,'Tablas Guyanas y Santa Elena'!I88,'Tablas Resto de Ecuador'!I88)</f>
        <v>308</v>
      </c>
      <c r="S91" s="188">
        <f t="shared" si="50"/>
        <v>3225</v>
      </c>
      <c r="T91" s="188">
        <f t="shared" si="51"/>
        <v>2551</v>
      </c>
      <c r="U91" s="188">
        <f t="shared" si="52"/>
        <v>1930</v>
      </c>
      <c r="V91" s="188">
        <f t="shared" si="53"/>
        <v>1366</v>
      </c>
      <c r="W91" s="188">
        <f t="shared" si="54"/>
        <v>766</v>
      </c>
      <c r="X91" s="188">
        <f t="shared" si="55"/>
        <v>458</v>
      </c>
      <c r="Y91" s="188">
        <f t="shared" si="56"/>
        <v>308</v>
      </c>
    </row>
    <row r="92" spans="1:25" ht="14" x14ac:dyDescent="0.2">
      <c r="A92" s="189">
        <v>26</v>
      </c>
      <c r="B92" s="187"/>
      <c r="C92" s="190">
        <f t="shared" si="43"/>
        <v>3248</v>
      </c>
      <c r="D92" s="190">
        <f t="shared" si="44"/>
        <v>2576</v>
      </c>
      <c r="E92" s="190">
        <f t="shared" si="45"/>
        <v>1958</v>
      </c>
      <c r="F92" s="190">
        <f t="shared" si="46"/>
        <v>1391</v>
      </c>
      <c r="G92" s="190">
        <f t="shared" si="47"/>
        <v>783</v>
      </c>
      <c r="H92" s="190">
        <f t="shared" si="48"/>
        <v>472</v>
      </c>
      <c r="I92" s="190">
        <f t="shared" si="49"/>
        <v>324</v>
      </c>
      <c r="K92" s="186">
        <f>IF('INGRESO DE DATOS'!$W$19=1,'Tablas Guyanas y Santa Elena'!C89,'Tablas Resto de Ecuador'!C89)</f>
        <v>3248</v>
      </c>
      <c r="L92" s="186">
        <f>IF('INGRESO DE DATOS'!$W$19=1,'Tablas Guyanas y Santa Elena'!D89,'Tablas Resto de Ecuador'!D89)</f>
        <v>2576</v>
      </c>
      <c r="M92" s="186">
        <f>IF('INGRESO DE DATOS'!$W$19=1,'Tablas Guyanas y Santa Elena'!E89,'Tablas Resto de Ecuador'!E89)</f>
        <v>1958</v>
      </c>
      <c r="N92" s="186">
        <f>IF('INGRESO DE DATOS'!$W$19=1,'Tablas Guyanas y Santa Elena'!F89,'Tablas Resto de Ecuador'!F89)</f>
        <v>1391</v>
      </c>
      <c r="O92" s="186">
        <f>IF('INGRESO DE DATOS'!$W$19=1,'Tablas Guyanas y Santa Elena'!G89,'Tablas Resto de Ecuador'!G89)</f>
        <v>783</v>
      </c>
      <c r="P92" s="186">
        <f>IF('INGRESO DE DATOS'!$W$19=1,'Tablas Guyanas y Santa Elena'!H89,'Tablas Resto de Ecuador'!H89)</f>
        <v>472</v>
      </c>
      <c r="Q92" s="186">
        <f>IF('INGRESO DE DATOS'!$W$19=1,'Tablas Guyanas y Santa Elena'!I89,'Tablas Resto de Ecuador'!I89)</f>
        <v>324</v>
      </c>
      <c r="S92" s="188">
        <f t="shared" si="50"/>
        <v>3248</v>
      </c>
      <c r="T92" s="188">
        <f t="shared" si="51"/>
        <v>2576</v>
      </c>
      <c r="U92" s="188">
        <f t="shared" si="52"/>
        <v>1958</v>
      </c>
      <c r="V92" s="188">
        <f t="shared" si="53"/>
        <v>1391</v>
      </c>
      <c r="W92" s="188">
        <f t="shared" si="54"/>
        <v>783</v>
      </c>
      <c r="X92" s="188">
        <f t="shared" si="55"/>
        <v>472</v>
      </c>
      <c r="Y92" s="188">
        <f t="shared" si="56"/>
        <v>324</v>
      </c>
    </row>
    <row r="93" spans="1:25" ht="14" x14ac:dyDescent="0.2">
      <c r="A93" s="189">
        <v>27</v>
      </c>
      <c r="B93" s="187"/>
      <c r="C93" s="190">
        <f t="shared" si="43"/>
        <v>3280</v>
      </c>
      <c r="D93" s="190">
        <f t="shared" si="44"/>
        <v>2610</v>
      </c>
      <c r="E93" s="190">
        <f t="shared" si="45"/>
        <v>1989</v>
      </c>
      <c r="F93" s="190">
        <f t="shared" si="46"/>
        <v>1419</v>
      </c>
      <c r="G93" s="190">
        <f t="shared" si="47"/>
        <v>803</v>
      </c>
      <c r="H93" s="190">
        <f t="shared" si="48"/>
        <v>487</v>
      </c>
      <c r="I93" s="190">
        <f t="shared" si="49"/>
        <v>348</v>
      </c>
      <c r="K93" s="186">
        <f>IF('INGRESO DE DATOS'!$W$19=1,'Tablas Guyanas y Santa Elena'!C90,'Tablas Resto de Ecuador'!C90)</f>
        <v>3280</v>
      </c>
      <c r="L93" s="186">
        <f>IF('INGRESO DE DATOS'!$W$19=1,'Tablas Guyanas y Santa Elena'!D90,'Tablas Resto de Ecuador'!D90)</f>
        <v>2610</v>
      </c>
      <c r="M93" s="186">
        <f>IF('INGRESO DE DATOS'!$W$19=1,'Tablas Guyanas y Santa Elena'!E90,'Tablas Resto de Ecuador'!E90)</f>
        <v>1989</v>
      </c>
      <c r="N93" s="186">
        <f>IF('INGRESO DE DATOS'!$W$19=1,'Tablas Guyanas y Santa Elena'!F90,'Tablas Resto de Ecuador'!F90)</f>
        <v>1419</v>
      </c>
      <c r="O93" s="186">
        <f>IF('INGRESO DE DATOS'!$W$19=1,'Tablas Guyanas y Santa Elena'!G90,'Tablas Resto de Ecuador'!G90)</f>
        <v>803</v>
      </c>
      <c r="P93" s="186">
        <f>IF('INGRESO DE DATOS'!$W$19=1,'Tablas Guyanas y Santa Elena'!H90,'Tablas Resto de Ecuador'!H90)</f>
        <v>487</v>
      </c>
      <c r="Q93" s="186">
        <f>IF('INGRESO DE DATOS'!$W$19=1,'Tablas Guyanas y Santa Elena'!I90,'Tablas Resto de Ecuador'!I90)</f>
        <v>348</v>
      </c>
      <c r="S93" s="188">
        <f t="shared" si="50"/>
        <v>3280</v>
      </c>
      <c r="T93" s="188">
        <f t="shared" si="51"/>
        <v>2610</v>
      </c>
      <c r="U93" s="188">
        <f t="shared" si="52"/>
        <v>1989</v>
      </c>
      <c r="V93" s="188">
        <f t="shared" si="53"/>
        <v>1419</v>
      </c>
      <c r="W93" s="188">
        <f t="shared" si="54"/>
        <v>803</v>
      </c>
      <c r="X93" s="188">
        <f t="shared" si="55"/>
        <v>487</v>
      </c>
      <c r="Y93" s="188">
        <f t="shared" si="56"/>
        <v>348</v>
      </c>
    </row>
    <row r="94" spans="1:25" ht="14" x14ac:dyDescent="0.2">
      <c r="A94" s="189">
        <v>28</v>
      </c>
      <c r="B94" s="187"/>
      <c r="C94" s="190">
        <f t="shared" si="43"/>
        <v>3319</v>
      </c>
      <c r="D94" s="190">
        <f t="shared" si="44"/>
        <v>2646</v>
      </c>
      <c r="E94" s="190">
        <f t="shared" si="45"/>
        <v>2025</v>
      </c>
      <c r="F94" s="190">
        <f t="shared" si="46"/>
        <v>1450</v>
      </c>
      <c r="G94" s="190">
        <f t="shared" si="47"/>
        <v>827</v>
      </c>
      <c r="H94" s="190">
        <f t="shared" si="48"/>
        <v>501</v>
      </c>
      <c r="I94" s="190">
        <f t="shared" si="49"/>
        <v>360</v>
      </c>
      <c r="K94" s="186">
        <f>IF('INGRESO DE DATOS'!$W$19=1,'Tablas Guyanas y Santa Elena'!C91,'Tablas Resto de Ecuador'!C91)</f>
        <v>3319</v>
      </c>
      <c r="L94" s="186">
        <f>IF('INGRESO DE DATOS'!$W$19=1,'Tablas Guyanas y Santa Elena'!D91,'Tablas Resto de Ecuador'!D91)</f>
        <v>2646</v>
      </c>
      <c r="M94" s="186">
        <f>IF('INGRESO DE DATOS'!$W$19=1,'Tablas Guyanas y Santa Elena'!E91,'Tablas Resto de Ecuador'!E91)</f>
        <v>2025</v>
      </c>
      <c r="N94" s="186">
        <f>IF('INGRESO DE DATOS'!$W$19=1,'Tablas Guyanas y Santa Elena'!F91,'Tablas Resto de Ecuador'!F91)</f>
        <v>1450</v>
      </c>
      <c r="O94" s="186">
        <f>IF('INGRESO DE DATOS'!$W$19=1,'Tablas Guyanas y Santa Elena'!G91,'Tablas Resto de Ecuador'!G91)</f>
        <v>827</v>
      </c>
      <c r="P94" s="186">
        <f>IF('INGRESO DE DATOS'!$W$19=1,'Tablas Guyanas y Santa Elena'!H91,'Tablas Resto de Ecuador'!H91)</f>
        <v>501</v>
      </c>
      <c r="Q94" s="186">
        <f>IF('INGRESO DE DATOS'!$W$19=1,'Tablas Guyanas y Santa Elena'!I91,'Tablas Resto de Ecuador'!I91)</f>
        <v>360</v>
      </c>
      <c r="S94" s="188">
        <f t="shared" si="50"/>
        <v>3319</v>
      </c>
      <c r="T94" s="188">
        <f t="shared" si="51"/>
        <v>2646</v>
      </c>
      <c r="U94" s="188">
        <f t="shared" si="52"/>
        <v>2025</v>
      </c>
      <c r="V94" s="188">
        <f t="shared" si="53"/>
        <v>1450</v>
      </c>
      <c r="W94" s="188">
        <f t="shared" si="54"/>
        <v>827</v>
      </c>
      <c r="X94" s="188">
        <f t="shared" si="55"/>
        <v>501</v>
      </c>
      <c r="Y94" s="188">
        <f t="shared" si="56"/>
        <v>360</v>
      </c>
    </row>
    <row r="95" spans="1:25" ht="14" x14ac:dyDescent="0.2">
      <c r="A95" s="189">
        <v>29</v>
      </c>
      <c r="B95" s="187"/>
      <c r="C95" s="190">
        <f t="shared" si="43"/>
        <v>3370</v>
      </c>
      <c r="D95" s="190">
        <f t="shared" si="44"/>
        <v>2691</v>
      </c>
      <c r="E95" s="190">
        <f t="shared" si="45"/>
        <v>2065</v>
      </c>
      <c r="F95" s="190">
        <f t="shared" si="46"/>
        <v>1485</v>
      </c>
      <c r="G95" s="190">
        <f t="shared" si="47"/>
        <v>853</v>
      </c>
      <c r="H95" s="190">
        <f t="shared" si="48"/>
        <v>515</v>
      </c>
      <c r="I95" s="190">
        <f t="shared" si="49"/>
        <v>356</v>
      </c>
      <c r="K95" s="186">
        <f>IF('INGRESO DE DATOS'!$W$19=1,'Tablas Guyanas y Santa Elena'!C92,'Tablas Resto de Ecuador'!C92)</f>
        <v>3370</v>
      </c>
      <c r="L95" s="186">
        <f>IF('INGRESO DE DATOS'!$W$19=1,'Tablas Guyanas y Santa Elena'!D92,'Tablas Resto de Ecuador'!D92)</f>
        <v>2691</v>
      </c>
      <c r="M95" s="186">
        <f>IF('INGRESO DE DATOS'!$W$19=1,'Tablas Guyanas y Santa Elena'!E92,'Tablas Resto de Ecuador'!E92)</f>
        <v>2065</v>
      </c>
      <c r="N95" s="186">
        <f>IF('INGRESO DE DATOS'!$W$19=1,'Tablas Guyanas y Santa Elena'!F92,'Tablas Resto de Ecuador'!F92)</f>
        <v>1485</v>
      </c>
      <c r="O95" s="186">
        <f>IF('INGRESO DE DATOS'!$W$19=1,'Tablas Guyanas y Santa Elena'!G92,'Tablas Resto de Ecuador'!G92)</f>
        <v>853</v>
      </c>
      <c r="P95" s="186">
        <f>IF('INGRESO DE DATOS'!$W$19=1,'Tablas Guyanas y Santa Elena'!H92,'Tablas Resto de Ecuador'!H92)</f>
        <v>515</v>
      </c>
      <c r="Q95" s="186">
        <f>IF('INGRESO DE DATOS'!$W$19=1,'Tablas Guyanas y Santa Elena'!I92,'Tablas Resto de Ecuador'!I92)</f>
        <v>356</v>
      </c>
      <c r="S95" s="188">
        <f t="shared" si="50"/>
        <v>3370</v>
      </c>
      <c r="T95" s="188">
        <f t="shared" si="51"/>
        <v>2691</v>
      </c>
      <c r="U95" s="188">
        <f t="shared" si="52"/>
        <v>2065</v>
      </c>
      <c r="V95" s="188">
        <f t="shared" si="53"/>
        <v>1485</v>
      </c>
      <c r="W95" s="188">
        <f t="shared" si="54"/>
        <v>853</v>
      </c>
      <c r="X95" s="188">
        <f t="shared" si="55"/>
        <v>515</v>
      </c>
      <c r="Y95" s="188">
        <f t="shared" si="56"/>
        <v>356</v>
      </c>
    </row>
    <row r="96" spans="1:25" ht="14" x14ac:dyDescent="0.2">
      <c r="A96" s="189">
        <v>30</v>
      </c>
      <c r="B96" s="187"/>
      <c r="C96" s="190">
        <f t="shared" si="43"/>
        <v>3426</v>
      </c>
      <c r="D96" s="190">
        <f t="shared" si="44"/>
        <v>2747</v>
      </c>
      <c r="E96" s="190">
        <f t="shared" si="45"/>
        <v>2114</v>
      </c>
      <c r="F96" s="190">
        <f t="shared" si="46"/>
        <v>1524</v>
      </c>
      <c r="G96" s="190">
        <f t="shared" si="47"/>
        <v>881</v>
      </c>
      <c r="H96" s="190">
        <f t="shared" si="48"/>
        <v>530</v>
      </c>
      <c r="I96" s="190">
        <f t="shared" si="49"/>
        <v>371</v>
      </c>
      <c r="K96" s="186">
        <f>IF('INGRESO DE DATOS'!$W$19=1,'Tablas Guyanas y Santa Elena'!C93,'Tablas Resto de Ecuador'!C93)</f>
        <v>3426</v>
      </c>
      <c r="L96" s="186">
        <f>IF('INGRESO DE DATOS'!$W$19=1,'Tablas Guyanas y Santa Elena'!D93,'Tablas Resto de Ecuador'!D93)</f>
        <v>2747</v>
      </c>
      <c r="M96" s="186">
        <f>IF('INGRESO DE DATOS'!$W$19=1,'Tablas Guyanas y Santa Elena'!E93,'Tablas Resto de Ecuador'!E93)</f>
        <v>2114</v>
      </c>
      <c r="N96" s="186">
        <f>IF('INGRESO DE DATOS'!$W$19=1,'Tablas Guyanas y Santa Elena'!F93,'Tablas Resto de Ecuador'!F93)</f>
        <v>1524</v>
      </c>
      <c r="O96" s="186">
        <f>IF('INGRESO DE DATOS'!$W$19=1,'Tablas Guyanas y Santa Elena'!G93,'Tablas Resto de Ecuador'!G93)</f>
        <v>881</v>
      </c>
      <c r="P96" s="186">
        <f>IF('INGRESO DE DATOS'!$W$19=1,'Tablas Guyanas y Santa Elena'!H93,'Tablas Resto de Ecuador'!H93)</f>
        <v>530</v>
      </c>
      <c r="Q96" s="186">
        <f>IF('INGRESO DE DATOS'!$W$19=1,'Tablas Guyanas y Santa Elena'!I93,'Tablas Resto de Ecuador'!I93)</f>
        <v>371</v>
      </c>
      <c r="S96" s="188">
        <f t="shared" si="50"/>
        <v>3426</v>
      </c>
      <c r="T96" s="188">
        <f t="shared" si="51"/>
        <v>2747</v>
      </c>
      <c r="U96" s="188">
        <f t="shared" si="52"/>
        <v>2114</v>
      </c>
      <c r="V96" s="188">
        <f t="shared" si="53"/>
        <v>1524</v>
      </c>
      <c r="W96" s="188">
        <f t="shared" si="54"/>
        <v>881</v>
      </c>
      <c r="X96" s="188">
        <f t="shared" si="55"/>
        <v>530</v>
      </c>
      <c r="Y96" s="188">
        <f t="shared" si="56"/>
        <v>371</v>
      </c>
    </row>
    <row r="97" spans="1:25" ht="14" x14ac:dyDescent="0.2">
      <c r="A97" s="189">
        <v>31</v>
      </c>
      <c r="B97" s="187"/>
      <c r="C97" s="190">
        <f t="shared" si="43"/>
        <v>3493</v>
      </c>
      <c r="D97" s="190">
        <f t="shared" si="44"/>
        <v>2808</v>
      </c>
      <c r="E97" s="190">
        <f t="shared" si="45"/>
        <v>2167</v>
      </c>
      <c r="F97" s="190">
        <f t="shared" si="46"/>
        <v>1569</v>
      </c>
      <c r="G97" s="190">
        <f t="shared" si="47"/>
        <v>910</v>
      </c>
      <c r="H97" s="190">
        <f t="shared" si="48"/>
        <v>545</v>
      </c>
      <c r="I97" s="190">
        <f t="shared" si="49"/>
        <v>389</v>
      </c>
      <c r="K97" s="186">
        <f>IF('INGRESO DE DATOS'!$W$19=1,'Tablas Guyanas y Santa Elena'!C94,'Tablas Resto de Ecuador'!C94)</f>
        <v>3493</v>
      </c>
      <c r="L97" s="186">
        <f>IF('INGRESO DE DATOS'!$W$19=1,'Tablas Guyanas y Santa Elena'!D94,'Tablas Resto de Ecuador'!D94)</f>
        <v>2808</v>
      </c>
      <c r="M97" s="186">
        <f>IF('INGRESO DE DATOS'!$W$19=1,'Tablas Guyanas y Santa Elena'!E94,'Tablas Resto de Ecuador'!E94)</f>
        <v>2167</v>
      </c>
      <c r="N97" s="186">
        <f>IF('INGRESO DE DATOS'!$W$19=1,'Tablas Guyanas y Santa Elena'!F94,'Tablas Resto de Ecuador'!F94)</f>
        <v>1569</v>
      </c>
      <c r="O97" s="186">
        <f>IF('INGRESO DE DATOS'!$W$19=1,'Tablas Guyanas y Santa Elena'!G94,'Tablas Resto de Ecuador'!G94)</f>
        <v>910</v>
      </c>
      <c r="P97" s="186">
        <f>IF('INGRESO DE DATOS'!$W$19=1,'Tablas Guyanas y Santa Elena'!H94,'Tablas Resto de Ecuador'!H94)</f>
        <v>545</v>
      </c>
      <c r="Q97" s="186">
        <f>IF('INGRESO DE DATOS'!$W$19=1,'Tablas Guyanas y Santa Elena'!I94,'Tablas Resto de Ecuador'!I94)</f>
        <v>389</v>
      </c>
      <c r="S97" s="188">
        <f t="shared" si="50"/>
        <v>3493</v>
      </c>
      <c r="T97" s="188">
        <f t="shared" si="51"/>
        <v>2808</v>
      </c>
      <c r="U97" s="188">
        <f t="shared" si="52"/>
        <v>2167</v>
      </c>
      <c r="V97" s="188">
        <f t="shared" si="53"/>
        <v>1569</v>
      </c>
      <c r="W97" s="188">
        <f t="shared" si="54"/>
        <v>910</v>
      </c>
      <c r="X97" s="188">
        <f t="shared" si="55"/>
        <v>545</v>
      </c>
      <c r="Y97" s="188">
        <f t="shared" si="56"/>
        <v>389</v>
      </c>
    </row>
    <row r="98" spans="1:25" ht="14" x14ac:dyDescent="0.2">
      <c r="A98" s="189">
        <v>32</v>
      </c>
      <c r="B98" s="187"/>
      <c r="C98" s="190">
        <f t="shared" si="43"/>
        <v>3570</v>
      </c>
      <c r="D98" s="190">
        <f t="shared" si="44"/>
        <v>2876</v>
      </c>
      <c r="E98" s="190">
        <f t="shared" si="45"/>
        <v>2226</v>
      </c>
      <c r="F98" s="190">
        <f t="shared" si="46"/>
        <v>1618</v>
      </c>
      <c r="G98" s="190">
        <f t="shared" si="47"/>
        <v>943</v>
      </c>
      <c r="H98" s="190">
        <f t="shared" si="48"/>
        <v>567</v>
      </c>
      <c r="I98" s="190">
        <f t="shared" si="49"/>
        <v>409</v>
      </c>
      <c r="K98" s="186">
        <f>IF('INGRESO DE DATOS'!$W$19=1,'Tablas Guyanas y Santa Elena'!C95,'Tablas Resto de Ecuador'!C95)</f>
        <v>3570</v>
      </c>
      <c r="L98" s="186">
        <f>IF('INGRESO DE DATOS'!$W$19=1,'Tablas Guyanas y Santa Elena'!D95,'Tablas Resto de Ecuador'!D95)</f>
        <v>2876</v>
      </c>
      <c r="M98" s="186">
        <f>IF('INGRESO DE DATOS'!$W$19=1,'Tablas Guyanas y Santa Elena'!E95,'Tablas Resto de Ecuador'!E95)</f>
        <v>2226</v>
      </c>
      <c r="N98" s="186">
        <f>IF('INGRESO DE DATOS'!$W$19=1,'Tablas Guyanas y Santa Elena'!F95,'Tablas Resto de Ecuador'!F95)</f>
        <v>1618</v>
      </c>
      <c r="O98" s="186">
        <f>IF('INGRESO DE DATOS'!$W$19=1,'Tablas Guyanas y Santa Elena'!G95,'Tablas Resto de Ecuador'!G95)</f>
        <v>943</v>
      </c>
      <c r="P98" s="186">
        <f>IF('INGRESO DE DATOS'!$W$19=1,'Tablas Guyanas y Santa Elena'!H95,'Tablas Resto de Ecuador'!H95)</f>
        <v>567</v>
      </c>
      <c r="Q98" s="186">
        <f>IF('INGRESO DE DATOS'!$W$19=1,'Tablas Guyanas y Santa Elena'!I95,'Tablas Resto de Ecuador'!I95)</f>
        <v>409</v>
      </c>
      <c r="S98" s="188">
        <f t="shared" si="50"/>
        <v>3570</v>
      </c>
      <c r="T98" s="188">
        <f t="shared" si="51"/>
        <v>2876</v>
      </c>
      <c r="U98" s="188">
        <f t="shared" si="52"/>
        <v>2226</v>
      </c>
      <c r="V98" s="188">
        <f t="shared" si="53"/>
        <v>1618</v>
      </c>
      <c r="W98" s="188">
        <f t="shared" si="54"/>
        <v>943</v>
      </c>
      <c r="X98" s="188">
        <f t="shared" si="55"/>
        <v>567</v>
      </c>
      <c r="Y98" s="188">
        <f t="shared" si="56"/>
        <v>409</v>
      </c>
    </row>
    <row r="99" spans="1:25" ht="14" x14ac:dyDescent="0.2">
      <c r="A99" s="189">
        <v>33</v>
      </c>
      <c r="B99" s="187"/>
      <c r="C99" s="190">
        <f t="shared" si="43"/>
        <v>3658</v>
      </c>
      <c r="D99" s="190">
        <f t="shared" si="44"/>
        <v>2954</v>
      </c>
      <c r="E99" s="190">
        <f t="shared" si="45"/>
        <v>2293</v>
      </c>
      <c r="F99" s="190">
        <f t="shared" si="46"/>
        <v>1673</v>
      </c>
      <c r="G99" s="190">
        <f t="shared" si="47"/>
        <v>978</v>
      </c>
      <c r="H99" s="190">
        <f t="shared" si="48"/>
        <v>594</v>
      </c>
      <c r="I99" s="190">
        <f t="shared" si="49"/>
        <v>428</v>
      </c>
      <c r="K99" s="186">
        <f>IF('INGRESO DE DATOS'!$W$19=1,'Tablas Guyanas y Santa Elena'!C96,'Tablas Resto de Ecuador'!C96)</f>
        <v>3658</v>
      </c>
      <c r="L99" s="186">
        <f>IF('INGRESO DE DATOS'!$W$19=1,'Tablas Guyanas y Santa Elena'!D96,'Tablas Resto de Ecuador'!D96)</f>
        <v>2954</v>
      </c>
      <c r="M99" s="186">
        <f>IF('INGRESO DE DATOS'!$W$19=1,'Tablas Guyanas y Santa Elena'!E96,'Tablas Resto de Ecuador'!E96)</f>
        <v>2293</v>
      </c>
      <c r="N99" s="186">
        <f>IF('INGRESO DE DATOS'!$W$19=1,'Tablas Guyanas y Santa Elena'!F96,'Tablas Resto de Ecuador'!F96)</f>
        <v>1673</v>
      </c>
      <c r="O99" s="186">
        <f>IF('INGRESO DE DATOS'!$W$19=1,'Tablas Guyanas y Santa Elena'!G96,'Tablas Resto de Ecuador'!G96)</f>
        <v>978</v>
      </c>
      <c r="P99" s="186">
        <f>IF('INGRESO DE DATOS'!$W$19=1,'Tablas Guyanas y Santa Elena'!H96,'Tablas Resto de Ecuador'!H96)</f>
        <v>594</v>
      </c>
      <c r="Q99" s="186">
        <f>IF('INGRESO DE DATOS'!$W$19=1,'Tablas Guyanas y Santa Elena'!I96,'Tablas Resto de Ecuador'!I96)</f>
        <v>428</v>
      </c>
      <c r="S99" s="188">
        <f t="shared" si="50"/>
        <v>3658</v>
      </c>
      <c r="T99" s="188">
        <f t="shared" si="51"/>
        <v>2954</v>
      </c>
      <c r="U99" s="188">
        <f t="shared" si="52"/>
        <v>2293</v>
      </c>
      <c r="V99" s="188">
        <f t="shared" si="53"/>
        <v>1673</v>
      </c>
      <c r="W99" s="188">
        <f t="shared" si="54"/>
        <v>978</v>
      </c>
      <c r="X99" s="188">
        <f t="shared" si="55"/>
        <v>594</v>
      </c>
      <c r="Y99" s="188">
        <f t="shared" si="56"/>
        <v>428</v>
      </c>
    </row>
    <row r="100" spans="1:25" ht="14" x14ac:dyDescent="0.2">
      <c r="A100" s="189">
        <v>34</v>
      </c>
      <c r="B100" s="187"/>
      <c r="C100" s="190">
        <f t="shared" si="43"/>
        <v>3756</v>
      </c>
      <c r="D100" s="190">
        <f t="shared" si="44"/>
        <v>3038</v>
      </c>
      <c r="E100" s="190">
        <f t="shared" si="45"/>
        <v>2366</v>
      </c>
      <c r="F100" s="190">
        <f t="shared" si="46"/>
        <v>1731</v>
      </c>
      <c r="G100" s="190">
        <f t="shared" si="47"/>
        <v>1020</v>
      </c>
      <c r="H100" s="190">
        <f t="shared" si="48"/>
        <v>619</v>
      </c>
      <c r="I100" s="190">
        <f t="shared" si="49"/>
        <v>450</v>
      </c>
      <c r="K100" s="186">
        <f>IF('INGRESO DE DATOS'!$W$19=1,'Tablas Guyanas y Santa Elena'!C97,'Tablas Resto de Ecuador'!C97)</f>
        <v>3756</v>
      </c>
      <c r="L100" s="186">
        <f>IF('INGRESO DE DATOS'!$W$19=1,'Tablas Guyanas y Santa Elena'!D97,'Tablas Resto de Ecuador'!D97)</f>
        <v>3038</v>
      </c>
      <c r="M100" s="186">
        <f>IF('INGRESO DE DATOS'!$W$19=1,'Tablas Guyanas y Santa Elena'!E97,'Tablas Resto de Ecuador'!E97)</f>
        <v>2366</v>
      </c>
      <c r="N100" s="186">
        <f>IF('INGRESO DE DATOS'!$W$19=1,'Tablas Guyanas y Santa Elena'!F97,'Tablas Resto de Ecuador'!F97)</f>
        <v>1731</v>
      </c>
      <c r="O100" s="186">
        <f>IF('INGRESO DE DATOS'!$W$19=1,'Tablas Guyanas y Santa Elena'!G97,'Tablas Resto de Ecuador'!G97)</f>
        <v>1020</v>
      </c>
      <c r="P100" s="186">
        <f>IF('INGRESO DE DATOS'!$W$19=1,'Tablas Guyanas y Santa Elena'!H97,'Tablas Resto de Ecuador'!H97)</f>
        <v>619</v>
      </c>
      <c r="Q100" s="186">
        <f>IF('INGRESO DE DATOS'!$W$19=1,'Tablas Guyanas y Santa Elena'!I97,'Tablas Resto de Ecuador'!I97)</f>
        <v>450</v>
      </c>
      <c r="S100" s="188">
        <f t="shared" si="50"/>
        <v>3756</v>
      </c>
      <c r="T100" s="188">
        <f t="shared" si="51"/>
        <v>3038</v>
      </c>
      <c r="U100" s="188">
        <f t="shared" si="52"/>
        <v>2366</v>
      </c>
      <c r="V100" s="188">
        <f t="shared" si="53"/>
        <v>1731</v>
      </c>
      <c r="W100" s="188">
        <f t="shared" si="54"/>
        <v>1020</v>
      </c>
      <c r="X100" s="188">
        <f t="shared" si="55"/>
        <v>619</v>
      </c>
      <c r="Y100" s="188">
        <f t="shared" si="56"/>
        <v>450</v>
      </c>
    </row>
    <row r="101" spans="1:25" ht="14" x14ac:dyDescent="0.2">
      <c r="A101" s="189">
        <v>35</v>
      </c>
      <c r="B101" s="187"/>
      <c r="C101" s="190">
        <f t="shared" si="43"/>
        <v>3863</v>
      </c>
      <c r="D101" s="190">
        <f t="shared" si="44"/>
        <v>3134</v>
      </c>
      <c r="E101" s="190">
        <f t="shared" si="45"/>
        <v>2449</v>
      </c>
      <c r="F101" s="190">
        <f t="shared" si="46"/>
        <v>1797</v>
      </c>
      <c r="G101" s="190">
        <f t="shared" si="47"/>
        <v>1062</v>
      </c>
      <c r="H101" s="190">
        <f t="shared" si="48"/>
        <v>650</v>
      </c>
      <c r="I101" s="190">
        <f t="shared" si="49"/>
        <v>474</v>
      </c>
      <c r="K101" s="186">
        <f>IF('INGRESO DE DATOS'!$W$19=1,'Tablas Guyanas y Santa Elena'!C98,'Tablas Resto de Ecuador'!C98)</f>
        <v>3863</v>
      </c>
      <c r="L101" s="186">
        <f>IF('INGRESO DE DATOS'!$W$19=1,'Tablas Guyanas y Santa Elena'!D98,'Tablas Resto de Ecuador'!D98)</f>
        <v>3134</v>
      </c>
      <c r="M101" s="186">
        <f>IF('INGRESO DE DATOS'!$W$19=1,'Tablas Guyanas y Santa Elena'!E98,'Tablas Resto de Ecuador'!E98)</f>
        <v>2449</v>
      </c>
      <c r="N101" s="186">
        <f>IF('INGRESO DE DATOS'!$W$19=1,'Tablas Guyanas y Santa Elena'!F98,'Tablas Resto de Ecuador'!F98)</f>
        <v>1797</v>
      </c>
      <c r="O101" s="186">
        <f>IF('INGRESO DE DATOS'!$W$19=1,'Tablas Guyanas y Santa Elena'!G98,'Tablas Resto de Ecuador'!G98)</f>
        <v>1062</v>
      </c>
      <c r="P101" s="186">
        <f>IF('INGRESO DE DATOS'!$W$19=1,'Tablas Guyanas y Santa Elena'!H98,'Tablas Resto de Ecuador'!H98)</f>
        <v>650</v>
      </c>
      <c r="Q101" s="186">
        <f>IF('INGRESO DE DATOS'!$W$19=1,'Tablas Guyanas y Santa Elena'!I98,'Tablas Resto de Ecuador'!I98)</f>
        <v>474</v>
      </c>
      <c r="S101" s="188">
        <f t="shared" si="50"/>
        <v>3863</v>
      </c>
      <c r="T101" s="188">
        <f t="shared" si="51"/>
        <v>3134</v>
      </c>
      <c r="U101" s="188">
        <f t="shared" si="52"/>
        <v>2449</v>
      </c>
      <c r="V101" s="188">
        <f t="shared" si="53"/>
        <v>1797</v>
      </c>
      <c r="W101" s="188">
        <f t="shared" si="54"/>
        <v>1062</v>
      </c>
      <c r="X101" s="188">
        <f t="shared" si="55"/>
        <v>650</v>
      </c>
      <c r="Y101" s="188">
        <f t="shared" si="56"/>
        <v>474</v>
      </c>
    </row>
    <row r="102" spans="1:25" ht="14" x14ac:dyDescent="0.2">
      <c r="A102" s="189">
        <v>36</v>
      </c>
      <c r="B102" s="187"/>
      <c r="C102" s="190">
        <f t="shared" si="43"/>
        <v>3984</v>
      </c>
      <c r="D102" s="190">
        <f t="shared" si="44"/>
        <v>3239</v>
      </c>
      <c r="E102" s="190">
        <f t="shared" si="45"/>
        <v>2539</v>
      </c>
      <c r="F102" s="190">
        <f t="shared" si="46"/>
        <v>1867</v>
      </c>
      <c r="G102" s="190">
        <f t="shared" si="47"/>
        <v>1110</v>
      </c>
      <c r="H102" s="190">
        <f t="shared" si="48"/>
        <v>682</v>
      </c>
      <c r="I102" s="190">
        <f t="shared" si="49"/>
        <v>501</v>
      </c>
      <c r="K102" s="186">
        <f>IF('INGRESO DE DATOS'!$W$19=1,'Tablas Guyanas y Santa Elena'!C99,'Tablas Resto de Ecuador'!C99)</f>
        <v>3984</v>
      </c>
      <c r="L102" s="186">
        <f>IF('INGRESO DE DATOS'!$W$19=1,'Tablas Guyanas y Santa Elena'!D99,'Tablas Resto de Ecuador'!D99)</f>
        <v>3239</v>
      </c>
      <c r="M102" s="186">
        <f>IF('INGRESO DE DATOS'!$W$19=1,'Tablas Guyanas y Santa Elena'!E99,'Tablas Resto de Ecuador'!E99)</f>
        <v>2539</v>
      </c>
      <c r="N102" s="186">
        <f>IF('INGRESO DE DATOS'!$W$19=1,'Tablas Guyanas y Santa Elena'!F99,'Tablas Resto de Ecuador'!F99)</f>
        <v>1867</v>
      </c>
      <c r="O102" s="186">
        <f>IF('INGRESO DE DATOS'!$W$19=1,'Tablas Guyanas y Santa Elena'!G99,'Tablas Resto de Ecuador'!G99)</f>
        <v>1110</v>
      </c>
      <c r="P102" s="186">
        <f>IF('INGRESO DE DATOS'!$W$19=1,'Tablas Guyanas y Santa Elena'!H99,'Tablas Resto de Ecuador'!H99)</f>
        <v>682</v>
      </c>
      <c r="Q102" s="186">
        <f>IF('INGRESO DE DATOS'!$W$19=1,'Tablas Guyanas y Santa Elena'!I99,'Tablas Resto de Ecuador'!I99)</f>
        <v>501</v>
      </c>
      <c r="S102" s="188">
        <f t="shared" si="50"/>
        <v>3984</v>
      </c>
      <c r="T102" s="188">
        <f t="shared" si="51"/>
        <v>3239</v>
      </c>
      <c r="U102" s="188">
        <f t="shared" si="52"/>
        <v>2539</v>
      </c>
      <c r="V102" s="188">
        <f t="shared" si="53"/>
        <v>1867</v>
      </c>
      <c r="W102" s="188">
        <f t="shared" si="54"/>
        <v>1110</v>
      </c>
      <c r="X102" s="188">
        <f t="shared" si="55"/>
        <v>682</v>
      </c>
      <c r="Y102" s="188">
        <f t="shared" si="56"/>
        <v>501</v>
      </c>
    </row>
    <row r="103" spans="1:25" ht="14" x14ac:dyDescent="0.2">
      <c r="A103" s="189">
        <v>37</v>
      </c>
      <c r="B103" s="187"/>
      <c r="C103" s="190">
        <f t="shared" si="43"/>
        <v>4114</v>
      </c>
      <c r="D103" s="190">
        <f t="shared" si="44"/>
        <v>3354</v>
      </c>
      <c r="E103" s="190">
        <f t="shared" si="45"/>
        <v>2633</v>
      </c>
      <c r="F103" s="190">
        <f t="shared" si="46"/>
        <v>1945</v>
      </c>
      <c r="G103" s="190">
        <f t="shared" si="47"/>
        <v>1163</v>
      </c>
      <c r="H103" s="190">
        <f t="shared" si="48"/>
        <v>717</v>
      </c>
      <c r="I103" s="190">
        <f t="shared" si="49"/>
        <v>528</v>
      </c>
      <c r="K103" s="186">
        <f>IF('INGRESO DE DATOS'!$W$19=1,'Tablas Guyanas y Santa Elena'!C100,'Tablas Resto de Ecuador'!C100)</f>
        <v>4114</v>
      </c>
      <c r="L103" s="186">
        <f>IF('INGRESO DE DATOS'!$W$19=1,'Tablas Guyanas y Santa Elena'!D100,'Tablas Resto de Ecuador'!D100)</f>
        <v>3354</v>
      </c>
      <c r="M103" s="186">
        <f>IF('INGRESO DE DATOS'!$W$19=1,'Tablas Guyanas y Santa Elena'!E100,'Tablas Resto de Ecuador'!E100)</f>
        <v>2633</v>
      </c>
      <c r="N103" s="186">
        <f>IF('INGRESO DE DATOS'!$W$19=1,'Tablas Guyanas y Santa Elena'!F100,'Tablas Resto de Ecuador'!F100)</f>
        <v>1945</v>
      </c>
      <c r="O103" s="186">
        <f>IF('INGRESO DE DATOS'!$W$19=1,'Tablas Guyanas y Santa Elena'!G100,'Tablas Resto de Ecuador'!G100)</f>
        <v>1163</v>
      </c>
      <c r="P103" s="186">
        <f>IF('INGRESO DE DATOS'!$W$19=1,'Tablas Guyanas y Santa Elena'!H100,'Tablas Resto de Ecuador'!H100)</f>
        <v>717</v>
      </c>
      <c r="Q103" s="186">
        <f>IF('INGRESO DE DATOS'!$W$19=1,'Tablas Guyanas y Santa Elena'!I100,'Tablas Resto de Ecuador'!I100)</f>
        <v>528</v>
      </c>
      <c r="S103" s="188">
        <f t="shared" si="50"/>
        <v>4114</v>
      </c>
      <c r="T103" s="188">
        <f t="shared" si="51"/>
        <v>3354</v>
      </c>
      <c r="U103" s="188">
        <f t="shared" si="52"/>
        <v>2633</v>
      </c>
      <c r="V103" s="188">
        <f t="shared" si="53"/>
        <v>1945</v>
      </c>
      <c r="W103" s="188">
        <f t="shared" si="54"/>
        <v>1163</v>
      </c>
      <c r="X103" s="188">
        <f t="shared" si="55"/>
        <v>717</v>
      </c>
      <c r="Y103" s="188">
        <f t="shared" si="56"/>
        <v>528</v>
      </c>
    </row>
    <row r="104" spans="1:25" ht="14" x14ac:dyDescent="0.2">
      <c r="A104" s="189">
        <v>38</v>
      </c>
      <c r="B104" s="187"/>
      <c r="C104" s="190">
        <f t="shared" si="43"/>
        <v>4257</v>
      </c>
      <c r="D104" s="190">
        <f t="shared" si="44"/>
        <v>3479</v>
      </c>
      <c r="E104" s="190">
        <f t="shared" si="45"/>
        <v>2739</v>
      </c>
      <c r="F104" s="190">
        <f t="shared" si="46"/>
        <v>2029</v>
      </c>
      <c r="G104" s="190">
        <f t="shared" si="47"/>
        <v>1219</v>
      </c>
      <c r="H104" s="190">
        <f t="shared" si="48"/>
        <v>753</v>
      </c>
      <c r="I104" s="190">
        <f t="shared" si="49"/>
        <v>558</v>
      </c>
      <c r="K104" s="186">
        <f>IF('INGRESO DE DATOS'!$W$19=1,'Tablas Guyanas y Santa Elena'!C101,'Tablas Resto de Ecuador'!C101)</f>
        <v>4257</v>
      </c>
      <c r="L104" s="186">
        <f>IF('INGRESO DE DATOS'!$W$19=1,'Tablas Guyanas y Santa Elena'!D101,'Tablas Resto de Ecuador'!D101)</f>
        <v>3479</v>
      </c>
      <c r="M104" s="186">
        <f>IF('INGRESO DE DATOS'!$W$19=1,'Tablas Guyanas y Santa Elena'!E101,'Tablas Resto de Ecuador'!E101)</f>
        <v>2739</v>
      </c>
      <c r="N104" s="186">
        <f>IF('INGRESO DE DATOS'!$W$19=1,'Tablas Guyanas y Santa Elena'!F101,'Tablas Resto de Ecuador'!F101)</f>
        <v>2029</v>
      </c>
      <c r="O104" s="186">
        <f>IF('INGRESO DE DATOS'!$W$19=1,'Tablas Guyanas y Santa Elena'!G101,'Tablas Resto de Ecuador'!G101)</f>
        <v>1219</v>
      </c>
      <c r="P104" s="186">
        <f>IF('INGRESO DE DATOS'!$W$19=1,'Tablas Guyanas y Santa Elena'!H101,'Tablas Resto de Ecuador'!H101)</f>
        <v>753</v>
      </c>
      <c r="Q104" s="186">
        <f>IF('INGRESO DE DATOS'!$W$19=1,'Tablas Guyanas y Santa Elena'!I101,'Tablas Resto de Ecuador'!I101)</f>
        <v>558</v>
      </c>
      <c r="S104" s="188">
        <f t="shared" si="50"/>
        <v>4257</v>
      </c>
      <c r="T104" s="188">
        <f t="shared" si="51"/>
        <v>3479</v>
      </c>
      <c r="U104" s="188">
        <f t="shared" si="52"/>
        <v>2739</v>
      </c>
      <c r="V104" s="188">
        <f t="shared" si="53"/>
        <v>2029</v>
      </c>
      <c r="W104" s="188">
        <f t="shared" si="54"/>
        <v>1219</v>
      </c>
      <c r="X104" s="188">
        <f t="shared" si="55"/>
        <v>753</v>
      </c>
      <c r="Y104" s="188">
        <f t="shared" si="56"/>
        <v>558</v>
      </c>
    </row>
    <row r="105" spans="1:25" ht="14" x14ac:dyDescent="0.2">
      <c r="A105" s="189">
        <v>39</v>
      </c>
      <c r="B105" s="187"/>
      <c r="C105" s="190">
        <f t="shared" si="43"/>
        <v>4413</v>
      </c>
      <c r="D105" s="190">
        <f t="shared" si="44"/>
        <v>3614</v>
      </c>
      <c r="E105" s="190">
        <f t="shared" si="45"/>
        <v>2857</v>
      </c>
      <c r="F105" s="190">
        <f t="shared" si="46"/>
        <v>2121</v>
      </c>
      <c r="G105" s="190">
        <f t="shared" si="47"/>
        <v>1281</v>
      </c>
      <c r="H105" s="190">
        <f t="shared" si="48"/>
        <v>795</v>
      </c>
      <c r="I105" s="190">
        <f t="shared" si="49"/>
        <v>569</v>
      </c>
      <c r="K105" s="186">
        <f>IF('INGRESO DE DATOS'!$W$19=1,'Tablas Guyanas y Santa Elena'!C102,'Tablas Resto de Ecuador'!C102)</f>
        <v>4413</v>
      </c>
      <c r="L105" s="186">
        <f>IF('INGRESO DE DATOS'!$W$19=1,'Tablas Guyanas y Santa Elena'!D102,'Tablas Resto de Ecuador'!D102)</f>
        <v>3614</v>
      </c>
      <c r="M105" s="186">
        <f>IF('INGRESO DE DATOS'!$W$19=1,'Tablas Guyanas y Santa Elena'!E102,'Tablas Resto de Ecuador'!E102)</f>
        <v>2857</v>
      </c>
      <c r="N105" s="186">
        <f>IF('INGRESO DE DATOS'!$W$19=1,'Tablas Guyanas y Santa Elena'!F102,'Tablas Resto de Ecuador'!F102)</f>
        <v>2121</v>
      </c>
      <c r="O105" s="186">
        <f>IF('INGRESO DE DATOS'!$W$19=1,'Tablas Guyanas y Santa Elena'!G102,'Tablas Resto de Ecuador'!G102)</f>
        <v>1281</v>
      </c>
      <c r="P105" s="186">
        <f>IF('INGRESO DE DATOS'!$W$19=1,'Tablas Guyanas y Santa Elena'!H102,'Tablas Resto de Ecuador'!H102)</f>
        <v>795</v>
      </c>
      <c r="Q105" s="186">
        <f>IF('INGRESO DE DATOS'!$W$19=1,'Tablas Guyanas y Santa Elena'!I102,'Tablas Resto de Ecuador'!I102)</f>
        <v>569</v>
      </c>
      <c r="S105" s="188">
        <f t="shared" si="50"/>
        <v>4413</v>
      </c>
      <c r="T105" s="188">
        <f t="shared" si="51"/>
        <v>3614</v>
      </c>
      <c r="U105" s="188">
        <f t="shared" si="52"/>
        <v>2857</v>
      </c>
      <c r="V105" s="188">
        <f t="shared" si="53"/>
        <v>2121</v>
      </c>
      <c r="W105" s="188">
        <f t="shared" si="54"/>
        <v>1281</v>
      </c>
      <c r="X105" s="188">
        <f t="shared" si="55"/>
        <v>795</v>
      </c>
      <c r="Y105" s="188">
        <f t="shared" si="56"/>
        <v>569</v>
      </c>
    </row>
    <row r="106" spans="1:25" ht="14" x14ac:dyDescent="0.2">
      <c r="A106" s="189">
        <v>40</v>
      </c>
      <c r="B106" s="187"/>
      <c r="C106" s="190">
        <f t="shared" si="43"/>
        <v>4538</v>
      </c>
      <c r="D106" s="190">
        <f t="shared" si="44"/>
        <v>3761</v>
      </c>
      <c r="E106" s="190">
        <f t="shared" si="45"/>
        <v>2983</v>
      </c>
      <c r="F106" s="190">
        <f t="shared" si="46"/>
        <v>2222</v>
      </c>
      <c r="G106" s="190">
        <f t="shared" si="47"/>
        <v>1345</v>
      </c>
      <c r="H106" s="190">
        <f t="shared" si="48"/>
        <v>839</v>
      </c>
      <c r="I106" s="190">
        <f t="shared" si="49"/>
        <v>580</v>
      </c>
      <c r="K106" s="186">
        <f>IF('INGRESO DE DATOS'!$W$19=1,'Tablas Guyanas y Santa Elena'!C103,'Tablas Resto de Ecuador'!C103)</f>
        <v>4538</v>
      </c>
      <c r="L106" s="186">
        <f>IF('INGRESO DE DATOS'!$W$19=1,'Tablas Guyanas y Santa Elena'!D103,'Tablas Resto de Ecuador'!D103)</f>
        <v>3761</v>
      </c>
      <c r="M106" s="186">
        <f>IF('INGRESO DE DATOS'!$W$19=1,'Tablas Guyanas y Santa Elena'!E103,'Tablas Resto de Ecuador'!E103)</f>
        <v>2983</v>
      </c>
      <c r="N106" s="186">
        <f>IF('INGRESO DE DATOS'!$W$19=1,'Tablas Guyanas y Santa Elena'!F103,'Tablas Resto de Ecuador'!F103)</f>
        <v>2222</v>
      </c>
      <c r="O106" s="186">
        <f>IF('INGRESO DE DATOS'!$W$19=1,'Tablas Guyanas y Santa Elena'!G103,'Tablas Resto de Ecuador'!G103)</f>
        <v>1345</v>
      </c>
      <c r="P106" s="186">
        <f>IF('INGRESO DE DATOS'!$W$19=1,'Tablas Guyanas y Santa Elena'!H103,'Tablas Resto de Ecuador'!H103)</f>
        <v>839</v>
      </c>
      <c r="Q106" s="186">
        <f>IF('INGRESO DE DATOS'!$W$19=1,'Tablas Guyanas y Santa Elena'!I103,'Tablas Resto de Ecuador'!I103)</f>
        <v>580</v>
      </c>
      <c r="S106" s="188">
        <f t="shared" si="50"/>
        <v>4538</v>
      </c>
      <c r="T106" s="188">
        <f t="shared" si="51"/>
        <v>3761</v>
      </c>
      <c r="U106" s="188">
        <f t="shared" si="52"/>
        <v>2983</v>
      </c>
      <c r="V106" s="188">
        <f t="shared" si="53"/>
        <v>2222</v>
      </c>
      <c r="W106" s="188">
        <f t="shared" si="54"/>
        <v>1345</v>
      </c>
      <c r="X106" s="188">
        <f t="shared" si="55"/>
        <v>839</v>
      </c>
      <c r="Y106" s="188">
        <f t="shared" si="56"/>
        <v>580</v>
      </c>
    </row>
    <row r="107" spans="1:25" ht="14" x14ac:dyDescent="0.2">
      <c r="A107" s="189">
        <v>41</v>
      </c>
      <c r="B107" s="187"/>
      <c r="C107" s="190">
        <f t="shared" si="43"/>
        <v>4638</v>
      </c>
      <c r="D107" s="190">
        <f t="shared" si="44"/>
        <v>3922</v>
      </c>
      <c r="E107" s="190">
        <f t="shared" si="45"/>
        <v>3117</v>
      </c>
      <c r="F107" s="190">
        <f t="shared" si="46"/>
        <v>2329</v>
      </c>
      <c r="G107" s="190">
        <f t="shared" si="47"/>
        <v>1417</v>
      </c>
      <c r="H107" s="190">
        <f t="shared" si="48"/>
        <v>888</v>
      </c>
      <c r="I107" s="190">
        <f t="shared" si="49"/>
        <v>591</v>
      </c>
      <c r="K107" s="186">
        <f>IF('INGRESO DE DATOS'!$W$19=1,'Tablas Guyanas y Santa Elena'!C104,'Tablas Resto de Ecuador'!C104)</f>
        <v>4638</v>
      </c>
      <c r="L107" s="186">
        <f>IF('INGRESO DE DATOS'!$W$19=1,'Tablas Guyanas y Santa Elena'!D104,'Tablas Resto de Ecuador'!D104)</f>
        <v>3922</v>
      </c>
      <c r="M107" s="186">
        <f>IF('INGRESO DE DATOS'!$W$19=1,'Tablas Guyanas y Santa Elena'!E104,'Tablas Resto de Ecuador'!E104)</f>
        <v>3117</v>
      </c>
      <c r="N107" s="186">
        <f>IF('INGRESO DE DATOS'!$W$19=1,'Tablas Guyanas y Santa Elena'!F104,'Tablas Resto de Ecuador'!F104)</f>
        <v>2329</v>
      </c>
      <c r="O107" s="186">
        <f>IF('INGRESO DE DATOS'!$W$19=1,'Tablas Guyanas y Santa Elena'!G104,'Tablas Resto de Ecuador'!G104)</f>
        <v>1417</v>
      </c>
      <c r="P107" s="186">
        <f>IF('INGRESO DE DATOS'!$W$19=1,'Tablas Guyanas y Santa Elena'!H104,'Tablas Resto de Ecuador'!H104)</f>
        <v>888</v>
      </c>
      <c r="Q107" s="186">
        <f>IF('INGRESO DE DATOS'!$W$19=1,'Tablas Guyanas y Santa Elena'!I104,'Tablas Resto de Ecuador'!I104)</f>
        <v>591</v>
      </c>
      <c r="S107" s="188">
        <f t="shared" si="50"/>
        <v>4638</v>
      </c>
      <c r="T107" s="188">
        <f t="shared" si="51"/>
        <v>3922</v>
      </c>
      <c r="U107" s="188">
        <f t="shared" si="52"/>
        <v>3117</v>
      </c>
      <c r="V107" s="188">
        <f t="shared" si="53"/>
        <v>2329</v>
      </c>
      <c r="W107" s="188">
        <f t="shared" si="54"/>
        <v>1417</v>
      </c>
      <c r="X107" s="188">
        <f t="shared" si="55"/>
        <v>888</v>
      </c>
      <c r="Y107" s="188">
        <f t="shared" si="56"/>
        <v>591</v>
      </c>
    </row>
    <row r="108" spans="1:25" ht="14" x14ac:dyDescent="0.2">
      <c r="A108" s="189">
        <v>42</v>
      </c>
      <c r="B108" s="187"/>
      <c r="C108" s="190">
        <f t="shared" si="43"/>
        <v>4750</v>
      </c>
      <c r="D108" s="190">
        <f t="shared" si="44"/>
        <v>4098</v>
      </c>
      <c r="E108" s="190">
        <f t="shared" si="45"/>
        <v>3260</v>
      </c>
      <c r="F108" s="190">
        <f t="shared" si="46"/>
        <v>2448</v>
      </c>
      <c r="G108" s="190">
        <f t="shared" si="47"/>
        <v>1496</v>
      </c>
      <c r="H108" s="190">
        <f t="shared" si="48"/>
        <v>942</v>
      </c>
      <c r="I108" s="190">
        <f t="shared" si="49"/>
        <v>628</v>
      </c>
      <c r="K108" s="186">
        <f>IF('INGRESO DE DATOS'!$W$19=1,'Tablas Guyanas y Santa Elena'!C105,'Tablas Resto de Ecuador'!C105)</f>
        <v>4750</v>
      </c>
      <c r="L108" s="186">
        <f>IF('INGRESO DE DATOS'!$W$19=1,'Tablas Guyanas y Santa Elena'!D105,'Tablas Resto de Ecuador'!D105)</f>
        <v>4098</v>
      </c>
      <c r="M108" s="186">
        <f>IF('INGRESO DE DATOS'!$W$19=1,'Tablas Guyanas y Santa Elena'!E105,'Tablas Resto de Ecuador'!E105)</f>
        <v>3260</v>
      </c>
      <c r="N108" s="186">
        <f>IF('INGRESO DE DATOS'!$W$19=1,'Tablas Guyanas y Santa Elena'!F105,'Tablas Resto de Ecuador'!F105)</f>
        <v>2448</v>
      </c>
      <c r="O108" s="186">
        <f>IF('INGRESO DE DATOS'!$W$19=1,'Tablas Guyanas y Santa Elena'!G105,'Tablas Resto de Ecuador'!G105)</f>
        <v>1496</v>
      </c>
      <c r="P108" s="186">
        <f>IF('INGRESO DE DATOS'!$W$19=1,'Tablas Guyanas y Santa Elena'!H105,'Tablas Resto de Ecuador'!H105)</f>
        <v>942</v>
      </c>
      <c r="Q108" s="186">
        <f>IF('INGRESO DE DATOS'!$W$19=1,'Tablas Guyanas y Santa Elena'!I105,'Tablas Resto de Ecuador'!I105)</f>
        <v>628</v>
      </c>
      <c r="S108" s="188">
        <f t="shared" si="50"/>
        <v>4750</v>
      </c>
      <c r="T108" s="188">
        <f t="shared" si="51"/>
        <v>4098</v>
      </c>
      <c r="U108" s="188">
        <f t="shared" si="52"/>
        <v>3260</v>
      </c>
      <c r="V108" s="188">
        <f t="shared" si="53"/>
        <v>2448</v>
      </c>
      <c r="W108" s="188">
        <f t="shared" si="54"/>
        <v>1496</v>
      </c>
      <c r="X108" s="188">
        <f t="shared" si="55"/>
        <v>942</v>
      </c>
      <c r="Y108" s="188">
        <f t="shared" si="56"/>
        <v>628</v>
      </c>
    </row>
    <row r="109" spans="1:25" ht="14" x14ac:dyDescent="0.2">
      <c r="A109" s="189">
        <v>43</v>
      </c>
      <c r="B109" s="187"/>
      <c r="C109" s="190">
        <f t="shared" si="43"/>
        <v>4930</v>
      </c>
      <c r="D109" s="190">
        <f t="shared" si="44"/>
        <v>4284</v>
      </c>
      <c r="E109" s="190">
        <f t="shared" si="45"/>
        <v>3329</v>
      </c>
      <c r="F109" s="190">
        <f t="shared" si="46"/>
        <v>2574</v>
      </c>
      <c r="G109" s="190">
        <f t="shared" si="47"/>
        <v>1579</v>
      </c>
      <c r="H109" s="190">
        <f t="shared" si="48"/>
        <v>999</v>
      </c>
      <c r="I109" s="190">
        <f t="shared" si="49"/>
        <v>667</v>
      </c>
      <c r="K109" s="186">
        <f>IF('INGRESO DE DATOS'!$W$19=1,'Tablas Guyanas y Santa Elena'!C106,'Tablas Resto de Ecuador'!C106)</f>
        <v>4930</v>
      </c>
      <c r="L109" s="186">
        <f>IF('INGRESO DE DATOS'!$W$19=1,'Tablas Guyanas y Santa Elena'!D106,'Tablas Resto de Ecuador'!D106)</f>
        <v>4284</v>
      </c>
      <c r="M109" s="186">
        <f>IF('INGRESO DE DATOS'!$W$19=1,'Tablas Guyanas y Santa Elena'!E106,'Tablas Resto de Ecuador'!E106)</f>
        <v>3329</v>
      </c>
      <c r="N109" s="186">
        <f>IF('INGRESO DE DATOS'!$W$19=1,'Tablas Guyanas y Santa Elena'!F106,'Tablas Resto de Ecuador'!F106)</f>
        <v>2574</v>
      </c>
      <c r="O109" s="186">
        <f>IF('INGRESO DE DATOS'!$W$19=1,'Tablas Guyanas y Santa Elena'!G106,'Tablas Resto de Ecuador'!G106)</f>
        <v>1579</v>
      </c>
      <c r="P109" s="186">
        <f>IF('INGRESO DE DATOS'!$W$19=1,'Tablas Guyanas y Santa Elena'!H106,'Tablas Resto de Ecuador'!H106)</f>
        <v>999</v>
      </c>
      <c r="Q109" s="186">
        <f>IF('INGRESO DE DATOS'!$W$19=1,'Tablas Guyanas y Santa Elena'!I106,'Tablas Resto de Ecuador'!I106)</f>
        <v>667</v>
      </c>
      <c r="S109" s="188">
        <f t="shared" si="50"/>
        <v>4930</v>
      </c>
      <c r="T109" s="188">
        <f t="shared" si="51"/>
        <v>4284</v>
      </c>
      <c r="U109" s="188">
        <f t="shared" si="52"/>
        <v>3329</v>
      </c>
      <c r="V109" s="188">
        <f t="shared" si="53"/>
        <v>2574</v>
      </c>
      <c r="W109" s="188">
        <f t="shared" si="54"/>
        <v>1579</v>
      </c>
      <c r="X109" s="188">
        <f t="shared" si="55"/>
        <v>999</v>
      </c>
      <c r="Y109" s="188">
        <f t="shared" si="56"/>
        <v>667</v>
      </c>
    </row>
    <row r="110" spans="1:25" ht="14" x14ac:dyDescent="0.2">
      <c r="A110" s="189">
        <v>44</v>
      </c>
      <c r="B110" s="187"/>
      <c r="C110" s="190">
        <f t="shared" si="43"/>
        <v>5120</v>
      </c>
      <c r="D110" s="190">
        <f t="shared" si="44"/>
        <v>4454</v>
      </c>
      <c r="E110" s="190">
        <f t="shared" si="45"/>
        <v>3424</v>
      </c>
      <c r="F110" s="190">
        <f t="shared" si="46"/>
        <v>2711</v>
      </c>
      <c r="G110" s="190">
        <f t="shared" si="47"/>
        <v>1671</v>
      </c>
      <c r="H110" s="190">
        <f t="shared" si="48"/>
        <v>1061</v>
      </c>
      <c r="I110" s="190">
        <f t="shared" si="49"/>
        <v>715</v>
      </c>
      <c r="K110" s="186">
        <f>IF('INGRESO DE DATOS'!$W$19=1,'Tablas Guyanas y Santa Elena'!C107,'Tablas Resto de Ecuador'!C107)</f>
        <v>5120</v>
      </c>
      <c r="L110" s="186">
        <f>IF('INGRESO DE DATOS'!$W$19=1,'Tablas Guyanas y Santa Elena'!D107,'Tablas Resto de Ecuador'!D107)</f>
        <v>4454</v>
      </c>
      <c r="M110" s="186">
        <f>IF('INGRESO DE DATOS'!$W$19=1,'Tablas Guyanas y Santa Elena'!E107,'Tablas Resto de Ecuador'!E107)</f>
        <v>3424</v>
      </c>
      <c r="N110" s="186">
        <f>IF('INGRESO DE DATOS'!$W$19=1,'Tablas Guyanas y Santa Elena'!F107,'Tablas Resto de Ecuador'!F107)</f>
        <v>2711</v>
      </c>
      <c r="O110" s="186">
        <f>IF('INGRESO DE DATOS'!$W$19=1,'Tablas Guyanas y Santa Elena'!G107,'Tablas Resto de Ecuador'!G107)</f>
        <v>1671</v>
      </c>
      <c r="P110" s="186">
        <f>IF('INGRESO DE DATOS'!$W$19=1,'Tablas Guyanas y Santa Elena'!H107,'Tablas Resto de Ecuador'!H107)</f>
        <v>1061</v>
      </c>
      <c r="Q110" s="186">
        <f>IF('INGRESO DE DATOS'!$W$19=1,'Tablas Guyanas y Santa Elena'!I107,'Tablas Resto de Ecuador'!I107)</f>
        <v>715</v>
      </c>
      <c r="S110" s="188">
        <f t="shared" si="50"/>
        <v>5120</v>
      </c>
      <c r="T110" s="188">
        <f t="shared" si="51"/>
        <v>4454</v>
      </c>
      <c r="U110" s="188">
        <f t="shared" si="52"/>
        <v>3424</v>
      </c>
      <c r="V110" s="188">
        <f t="shared" si="53"/>
        <v>2711</v>
      </c>
      <c r="W110" s="188">
        <f t="shared" si="54"/>
        <v>1671</v>
      </c>
      <c r="X110" s="188">
        <f t="shared" si="55"/>
        <v>1061</v>
      </c>
      <c r="Y110" s="188">
        <f t="shared" si="56"/>
        <v>715</v>
      </c>
    </row>
    <row r="111" spans="1:25" ht="14" x14ac:dyDescent="0.2">
      <c r="A111" s="189">
        <v>45</v>
      </c>
      <c r="B111" s="187"/>
      <c r="C111" s="190">
        <f t="shared" si="43"/>
        <v>5311</v>
      </c>
      <c r="D111" s="190">
        <f t="shared" si="44"/>
        <v>4617</v>
      </c>
      <c r="E111" s="190">
        <f t="shared" si="45"/>
        <v>3535</v>
      </c>
      <c r="F111" s="190">
        <f t="shared" si="46"/>
        <v>2860</v>
      </c>
      <c r="G111" s="190">
        <f t="shared" si="47"/>
        <v>1768</v>
      </c>
      <c r="H111" s="190">
        <f t="shared" si="48"/>
        <v>1128</v>
      </c>
      <c r="I111" s="190">
        <f t="shared" si="49"/>
        <v>762</v>
      </c>
      <c r="K111" s="186">
        <f>IF('INGRESO DE DATOS'!$W$19=1,'Tablas Guyanas y Santa Elena'!C108,'Tablas Resto de Ecuador'!C108)</f>
        <v>5311</v>
      </c>
      <c r="L111" s="186">
        <f>IF('INGRESO DE DATOS'!$W$19=1,'Tablas Guyanas y Santa Elena'!D108,'Tablas Resto de Ecuador'!D108)</f>
        <v>4617</v>
      </c>
      <c r="M111" s="186">
        <f>IF('INGRESO DE DATOS'!$W$19=1,'Tablas Guyanas y Santa Elena'!E108,'Tablas Resto de Ecuador'!E108)</f>
        <v>3535</v>
      </c>
      <c r="N111" s="186">
        <f>IF('INGRESO DE DATOS'!$W$19=1,'Tablas Guyanas y Santa Elena'!F108,'Tablas Resto de Ecuador'!F108)</f>
        <v>2860</v>
      </c>
      <c r="O111" s="186">
        <f>IF('INGRESO DE DATOS'!$W$19=1,'Tablas Guyanas y Santa Elena'!G108,'Tablas Resto de Ecuador'!G108)</f>
        <v>1768</v>
      </c>
      <c r="P111" s="186">
        <f>IF('INGRESO DE DATOS'!$W$19=1,'Tablas Guyanas y Santa Elena'!H108,'Tablas Resto de Ecuador'!H108)</f>
        <v>1128</v>
      </c>
      <c r="Q111" s="186">
        <f>IF('INGRESO DE DATOS'!$W$19=1,'Tablas Guyanas y Santa Elena'!I108,'Tablas Resto de Ecuador'!I108)</f>
        <v>762</v>
      </c>
      <c r="S111" s="188">
        <f t="shared" si="50"/>
        <v>5311</v>
      </c>
      <c r="T111" s="188">
        <f t="shared" si="51"/>
        <v>4617</v>
      </c>
      <c r="U111" s="188">
        <f t="shared" si="52"/>
        <v>3535</v>
      </c>
      <c r="V111" s="188">
        <f t="shared" si="53"/>
        <v>2860</v>
      </c>
      <c r="W111" s="188">
        <f t="shared" si="54"/>
        <v>1768</v>
      </c>
      <c r="X111" s="188">
        <f t="shared" si="55"/>
        <v>1128</v>
      </c>
      <c r="Y111" s="188">
        <f t="shared" si="56"/>
        <v>762</v>
      </c>
    </row>
    <row r="112" spans="1:25" ht="14" x14ac:dyDescent="0.2">
      <c r="A112" s="189">
        <v>46</v>
      </c>
      <c r="B112" s="187"/>
      <c r="C112" s="190">
        <f t="shared" si="43"/>
        <v>5366.79</v>
      </c>
      <c r="D112" s="190">
        <f t="shared" si="44"/>
        <v>4781</v>
      </c>
      <c r="E112" s="190">
        <f t="shared" si="45"/>
        <v>3660</v>
      </c>
      <c r="F112" s="190">
        <f t="shared" si="46"/>
        <v>3019</v>
      </c>
      <c r="G112" s="190">
        <f t="shared" si="47"/>
        <v>1878</v>
      </c>
      <c r="H112" s="190">
        <f t="shared" si="48"/>
        <v>1201</v>
      </c>
      <c r="I112" s="190">
        <f t="shared" si="49"/>
        <v>816</v>
      </c>
      <c r="K112" s="186">
        <f>IF('INGRESO DE DATOS'!$W$19=1,'Tablas Guyanas y Santa Elena'!C109,'Tablas Resto de Ecuador'!C109)</f>
        <v>5366.79</v>
      </c>
      <c r="L112" s="186">
        <f>IF('INGRESO DE DATOS'!$W$19=1,'Tablas Guyanas y Santa Elena'!D109,'Tablas Resto de Ecuador'!D109)</f>
        <v>4781</v>
      </c>
      <c r="M112" s="186">
        <f>IF('INGRESO DE DATOS'!$W$19=1,'Tablas Guyanas y Santa Elena'!E109,'Tablas Resto de Ecuador'!E109)</f>
        <v>3660</v>
      </c>
      <c r="N112" s="186">
        <f>IF('INGRESO DE DATOS'!$W$19=1,'Tablas Guyanas y Santa Elena'!F109,'Tablas Resto de Ecuador'!F109)</f>
        <v>3019</v>
      </c>
      <c r="O112" s="186">
        <f>IF('INGRESO DE DATOS'!$W$19=1,'Tablas Guyanas y Santa Elena'!G109,'Tablas Resto de Ecuador'!G109)</f>
        <v>1878</v>
      </c>
      <c r="P112" s="186">
        <f>IF('INGRESO DE DATOS'!$W$19=1,'Tablas Guyanas y Santa Elena'!H109,'Tablas Resto de Ecuador'!H109)</f>
        <v>1201</v>
      </c>
      <c r="Q112" s="186">
        <f>IF('INGRESO DE DATOS'!$W$19=1,'Tablas Guyanas y Santa Elena'!I109,'Tablas Resto de Ecuador'!I109)</f>
        <v>816</v>
      </c>
      <c r="S112" s="188">
        <f t="shared" si="50"/>
        <v>5366.79</v>
      </c>
      <c r="T112" s="188">
        <f t="shared" si="51"/>
        <v>4781</v>
      </c>
      <c r="U112" s="188">
        <f t="shared" si="52"/>
        <v>3660</v>
      </c>
      <c r="V112" s="188">
        <f t="shared" si="53"/>
        <v>3019</v>
      </c>
      <c r="W112" s="188">
        <f t="shared" si="54"/>
        <v>1878</v>
      </c>
      <c r="X112" s="188">
        <f t="shared" si="55"/>
        <v>1201</v>
      </c>
      <c r="Y112" s="188">
        <f t="shared" si="56"/>
        <v>816</v>
      </c>
    </row>
    <row r="113" spans="1:25" ht="14" x14ac:dyDescent="0.2">
      <c r="A113" s="189">
        <v>47</v>
      </c>
      <c r="B113" s="187"/>
      <c r="C113" s="190">
        <f t="shared" si="43"/>
        <v>5403</v>
      </c>
      <c r="D113" s="190">
        <f t="shared" si="44"/>
        <v>4944</v>
      </c>
      <c r="E113" s="190">
        <f t="shared" si="45"/>
        <v>3799</v>
      </c>
      <c r="F113" s="190">
        <f t="shared" si="46"/>
        <v>3192</v>
      </c>
      <c r="G113" s="190">
        <f t="shared" si="47"/>
        <v>1989</v>
      </c>
      <c r="H113" s="190">
        <f t="shared" si="48"/>
        <v>1278</v>
      </c>
      <c r="I113" s="190">
        <f t="shared" si="49"/>
        <v>874</v>
      </c>
      <c r="K113" s="186">
        <f>IF('INGRESO DE DATOS'!$W$19=1,'Tablas Guyanas y Santa Elena'!C110,'Tablas Resto de Ecuador'!C110)</f>
        <v>5403</v>
      </c>
      <c r="L113" s="186">
        <f>IF('INGRESO DE DATOS'!$W$19=1,'Tablas Guyanas y Santa Elena'!D110,'Tablas Resto de Ecuador'!D110)</f>
        <v>4944</v>
      </c>
      <c r="M113" s="186">
        <f>IF('INGRESO DE DATOS'!$W$19=1,'Tablas Guyanas y Santa Elena'!E110,'Tablas Resto de Ecuador'!E110)</f>
        <v>3799</v>
      </c>
      <c r="N113" s="186">
        <f>IF('INGRESO DE DATOS'!$W$19=1,'Tablas Guyanas y Santa Elena'!F110,'Tablas Resto de Ecuador'!F110)</f>
        <v>3192</v>
      </c>
      <c r="O113" s="186">
        <f>IF('INGRESO DE DATOS'!$W$19=1,'Tablas Guyanas y Santa Elena'!G110,'Tablas Resto de Ecuador'!G110)</f>
        <v>1989</v>
      </c>
      <c r="P113" s="186">
        <f>IF('INGRESO DE DATOS'!$W$19=1,'Tablas Guyanas y Santa Elena'!H110,'Tablas Resto de Ecuador'!H110)</f>
        <v>1278</v>
      </c>
      <c r="Q113" s="186">
        <f>IF('INGRESO DE DATOS'!$W$19=1,'Tablas Guyanas y Santa Elena'!I110,'Tablas Resto de Ecuador'!I110)</f>
        <v>874</v>
      </c>
      <c r="S113" s="188">
        <f t="shared" si="50"/>
        <v>5403</v>
      </c>
      <c r="T113" s="188">
        <f t="shared" si="51"/>
        <v>4944</v>
      </c>
      <c r="U113" s="188">
        <f t="shared" si="52"/>
        <v>3799</v>
      </c>
      <c r="V113" s="188">
        <f t="shared" si="53"/>
        <v>3192</v>
      </c>
      <c r="W113" s="188">
        <f t="shared" si="54"/>
        <v>1989</v>
      </c>
      <c r="X113" s="188">
        <f t="shared" si="55"/>
        <v>1278</v>
      </c>
      <c r="Y113" s="188">
        <f t="shared" si="56"/>
        <v>874</v>
      </c>
    </row>
    <row r="114" spans="1:25" ht="14" x14ac:dyDescent="0.2">
      <c r="A114" s="189">
        <v>48</v>
      </c>
      <c r="B114" s="187"/>
      <c r="C114" s="190">
        <f t="shared" si="43"/>
        <v>5494</v>
      </c>
      <c r="D114" s="190">
        <f t="shared" si="44"/>
        <v>5120</v>
      </c>
      <c r="E114" s="190">
        <f t="shared" si="45"/>
        <v>3952</v>
      </c>
      <c r="F114" s="190">
        <f t="shared" si="46"/>
        <v>3378</v>
      </c>
      <c r="G114" s="190">
        <f t="shared" si="47"/>
        <v>2036</v>
      </c>
      <c r="H114" s="190">
        <f t="shared" si="48"/>
        <v>1364</v>
      </c>
      <c r="I114" s="190">
        <f t="shared" si="49"/>
        <v>937</v>
      </c>
      <c r="K114" s="186">
        <f>IF('INGRESO DE DATOS'!$W$19=1,'Tablas Guyanas y Santa Elena'!C111,'Tablas Resto de Ecuador'!C111)</f>
        <v>5494</v>
      </c>
      <c r="L114" s="186">
        <f>IF('INGRESO DE DATOS'!$W$19=1,'Tablas Guyanas y Santa Elena'!D111,'Tablas Resto de Ecuador'!D111)</f>
        <v>5120</v>
      </c>
      <c r="M114" s="186">
        <f>IF('INGRESO DE DATOS'!$W$19=1,'Tablas Guyanas y Santa Elena'!E111,'Tablas Resto de Ecuador'!E111)</f>
        <v>3952</v>
      </c>
      <c r="N114" s="186">
        <f>IF('INGRESO DE DATOS'!$W$19=1,'Tablas Guyanas y Santa Elena'!F111,'Tablas Resto de Ecuador'!F111)</f>
        <v>3378</v>
      </c>
      <c r="O114" s="186">
        <f>IF('INGRESO DE DATOS'!$W$19=1,'Tablas Guyanas y Santa Elena'!G111,'Tablas Resto de Ecuador'!G111)</f>
        <v>2036</v>
      </c>
      <c r="P114" s="186">
        <f>IF('INGRESO DE DATOS'!$W$19=1,'Tablas Guyanas y Santa Elena'!H111,'Tablas Resto de Ecuador'!H111)</f>
        <v>1364</v>
      </c>
      <c r="Q114" s="186">
        <f>IF('INGRESO DE DATOS'!$W$19=1,'Tablas Guyanas y Santa Elena'!I111,'Tablas Resto de Ecuador'!I111)</f>
        <v>937</v>
      </c>
      <c r="S114" s="188">
        <f t="shared" si="50"/>
        <v>5494</v>
      </c>
      <c r="T114" s="188">
        <f t="shared" si="51"/>
        <v>5120</v>
      </c>
      <c r="U114" s="188">
        <f t="shared" si="52"/>
        <v>3952</v>
      </c>
      <c r="V114" s="188">
        <f t="shared" si="53"/>
        <v>3378</v>
      </c>
      <c r="W114" s="188">
        <f t="shared" si="54"/>
        <v>2036</v>
      </c>
      <c r="X114" s="188">
        <f t="shared" si="55"/>
        <v>1364</v>
      </c>
      <c r="Y114" s="188">
        <f t="shared" si="56"/>
        <v>937</v>
      </c>
    </row>
    <row r="115" spans="1:25" ht="14" x14ac:dyDescent="0.2">
      <c r="A115" s="189">
        <v>49</v>
      </c>
      <c r="B115" s="187"/>
      <c r="C115" s="190">
        <f t="shared" si="43"/>
        <v>5721</v>
      </c>
      <c r="D115" s="190">
        <f t="shared" si="44"/>
        <v>5292</v>
      </c>
      <c r="E115" s="190">
        <f t="shared" si="45"/>
        <v>4113</v>
      </c>
      <c r="F115" s="190">
        <f t="shared" si="46"/>
        <v>3581</v>
      </c>
      <c r="G115" s="190">
        <f t="shared" si="47"/>
        <v>2110</v>
      </c>
      <c r="H115" s="190">
        <f t="shared" si="48"/>
        <v>1458</v>
      </c>
      <c r="I115" s="190">
        <f t="shared" si="49"/>
        <v>1004</v>
      </c>
      <c r="K115" s="186">
        <f>IF('INGRESO DE DATOS'!$W$19=1,'Tablas Guyanas y Santa Elena'!C112,'Tablas Resto de Ecuador'!C112)</f>
        <v>5721</v>
      </c>
      <c r="L115" s="186">
        <f>IF('INGRESO DE DATOS'!$W$19=1,'Tablas Guyanas y Santa Elena'!D112,'Tablas Resto de Ecuador'!D112)</f>
        <v>5292</v>
      </c>
      <c r="M115" s="186">
        <f>IF('INGRESO DE DATOS'!$W$19=1,'Tablas Guyanas y Santa Elena'!E112,'Tablas Resto de Ecuador'!E112)</f>
        <v>4113</v>
      </c>
      <c r="N115" s="186">
        <f>IF('INGRESO DE DATOS'!$W$19=1,'Tablas Guyanas y Santa Elena'!F112,'Tablas Resto de Ecuador'!F112)</f>
        <v>3581</v>
      </c>
      <c r="O115" s="186">
        <f>IF('INGRESO DE DATOS'!$W$19=1,'Tablas Guyanas y Santa Elena'!G112,'Tablas Resto de Ecuador'!G112)</f>
        <v>2110</v>
      </c>
      <c r="P115" s="186">
        <f>IF('INGRESO DE DATOS'!$W$19=1,'Tablas Guyanas y Santa Elena'!H112,'Tablas Resto de Ecuador'!H112)</f>
        <v>1458</v>
      </c>
      <c r="Q115" s="186">
        <f>IF('INGRESO DE DATOS'!$W$19=1,'Tablas Guyanas y Santa Elena'!I112,'Tablas Resto de Ecuador'!I112)</f>
        <v>1004</v>
      </c>
      <c r="S115" s="188">
        <f t="shared" si="50"/>
        <v>5721</v>
      </c>
      <c r="T115" s="188">
        <f t="shared" si="51"/>
        <v>5292</v>
      </c>
      <c r="U115" s="188">
        <f t="shared" si="52"/>
        <v>4113</v>
      </c>
      <c r="V115" s="188">
        <f t="shared" si="53"/>
        <v>3581</v>
      </c>
      <c r="W115" s="188">
        <f t="shared" si="54"/>
        <v>2110</v>
      </c>
      <c r="X115" s="188">
        <f t="shared" si="55"/>
        <v>1458</v>
      </c>
      <c r="Y115" s="188">
        <f t="shared" si="56"/>
        <v>1004</v>
      </c>
    </row>
    <row r="116" spans="1:25" ht="14" x14ac:dyDescent="0.2">
      <c r="A116" s="189">
        <v>50</v>
      </c>
      <c r="B116" s="187"/>
      <c r="C116" s="190">
        <f t="shared" si="43"/>
        <v>6043</v>
      </c>
      <c r="D116" s="190">
        <f t="shared" si="44"/>
        <v>5469</v>
      </c>
      <c r="E116" s="190">
        <f t="shared" si="45"/>
        <v>4281</v>
      </c>
      <c r="F116" s="190">
        <f t="shared" si="46"/>
        <v>3790</v>
      </c>
      <c r="G116" s="190">
        <f t="shared" si="47"/>
        <v>2203</v>
      </c>
      <c r="H116" s="190">
        <f t="shared" si="48"/>
        <v>1565</v>
      </c>
      <c r="I116" s="190">
        <f t="shared" si="49"/>
        <v>1085</v>
      </c>
      <c r="K116" s="186">
        <f>IF('INGRESO DE DATOS'!$W$19=1,'Tablas Guyanas y Santa Elena'!C113,'Tablas Resto de Ecuador'!C113)</f>
        <v>6043</v>
      </c>
      <c r="L116" s="186">
        <f>IF('INGRESO DE DATOS'!$W$19=1,'Tablas Guyanas y Santa Elena'!D113,'Tablas Resto de Ecuador'!D113)</f>
        <v>5469</v>
      </c>
      <c r="M116" s="186">
        <f>IF('INGRESO DE DATOS'!$W$19=1,'Tablas Guyanas y Santa Elena'!E113,'Tablas Resto de Ecuador'!E113)</f>
        <v>4281</v>
      </c>
      <c r="N116" s="186">
        <f>IF('INGRESO DE DATOS'!$W$19=1,'Tablas Guyanas y Santa Elena'!F113,'Tablas Resto de Ecuador'!F113)</f>
        <v>3790</v>
      </c>
      <c r="O116" s="186">
        <f>IF('INGRESO DE DATOS'!$W$19=1,'Tablas Guyanas y Santa Elena'!G113,'Tablas Resto de Ecuador'!G113)</f>
        <v>2203</v>
      </c>
      <c r="P116" s="186">
        <f>IF('INGRESO DE DATOS'!$W$19=1,'Tablas Guyanas y Santa Elena'!H113,'Tablas Resto de Ecuador'!H113)</f>
        <v>1565</v>
      </c>
      <c r="Q116" s="186">
        <f>IF('INGRESO DE DATOS'!$W$19=1,'Tablas Guyanas y Santa Elena'!I113,'Tablas Resto de Ecuador'!I113)</f>
        <v>1085</v>
      </c>
      <c r="S116" s="188">
        <f t="shared" si="50"/>
        <v>6043</v>
      </c>
      <c r="T116" s="188">
        <f t="shared" si="51"/>
        <v>5469</v>
      </c>
      <c r="U116" s="188">
        <f t="shared" si="52"/>
        <v>4281</v>
      </c>
      <c r="V116" s="188">
        <f t="shared" si="53"/>
        <v>3790</v>
      </c>
      <c r="W116" s="188">
        <f t="shared" si="54"/>
        <v>2203</v>
      </c>
      <c r="X116" s="188">
        <f t="shared" si="55"/>
        <v>1565</v>
      </c>
      <c r="Y116" s="188">
        <f t="shared" si="56"/>
        <v>1085</v>
      </c>
    </row>
    <row r="117" spans="1:25" ht="14" x14ac:dyDescent="0.2">
      <c r="A117" s="189">
        <v>51</v>
      </c>
      <c r="B117" s="187"/>
      <c r="C117" s="190">
        <f t="shared" si="43"/>
        <v>6421</v>
      </c>
      <c r="D117" s="190">
        <f t="shared" si="44"/>
        <v>5640</v>
      </c>
      <c r="E117" s="190">
        <f t="shared" si="45"/>
        <v>4466</v>
      </c>
      <c r="F117" s="190">
        <f t="shared" si="46"/>
        <v>4045</v>
      </c>
      <c r="G117" s="190">
        <f t="shared" si="47"/>
        <v>2310</v>
      </c>
      <c r="H117" s="190">
        <f t="shared" si="48"/>
        <v>1698</v>
      </c>
      <c r="I117" s="190">
        <f t="shared" si="49"/>
        <v>1182</v>
      </c>
      <c r="K117" s="186">
        <f>IF('INGRESO DE DATOS'!$W$19=1,'Tablas Guyanas y Santa Elena'!C114,'Tablas Resto de Ecuador'!C114)</f>
        <v>6421</v>
      </c>
      <c r="L117" s="186">
        <f>IF('INGRESO DE DATOS'!$W$19=1,'Tablas Guyanas y Santa Elena'!D114,'Tablas Resto de Ecuador'!D114)</f>
        <v>5640</v>
      </c>
      <c r="M117" s="186">
        <f>IF('INGRESO DE DATOS'!$W$19=1,'Tablas Guyanas y Santa Elena'!E114,'Tablas Resto de Ecuador'!E114)</f>
        <v>4466</v>
      </c>
      <c r="N117" s="186">
        <f>IF('INGRESO DE DATOS'!$W$19=1,'Tablas Guyanas y Santa Elena'!F114,'Tablas Resto de Ecuador'!F114)</f>
        <v>4045</v>
      </c>
      <c r="O117" s="186">
        <f>IF('INGRESO DE DATOS'!$W$19=1,'Tablas Guyanas y Santa Elena'!G114,'Tablas Resto de Ecuador'!G114)</f>
        <v>2310</v>
      </c>
      <c r="P117" s="186">
        <f>IF('INGRESO DE DATOS'!$W$19=1,'Tablas Guyanas y Santa Elena'!H114,'Tablas Resto de Ecuador'!H114)</f>
        <v>1698</v>
      </c>
      <c r="Q117" s="186">
        <f>IF('INGRESO DE DATOS'!$W$19=1,'Tablas Guyanas y Santa Elena'!I114,'Tablas Resto de Ecuador'!I114)</f>
        <v>1182</v>
      </c>
      <c r="S117" s="188">
        <f t="shared" si="50"/>
        <v>6421</v>
      </c>
      <c r="T117" s="188">
        <f t="shared" si="51"/>
        <v>5640</v>
      </c>
      <c r="U117" s="188">
        <f t="shared" si="52"/>
        <v>4466</v>
      </c>
      <c r="V117" s="188">
        <f t="shared" si="53"/>
        <v>4045</v>
      </c>
      <c r="W117" s="188">
        <f t="shared" si="54"/>
        <v>2310</v>
      </c>
      <c r="X117" s="188">
        <f t="shared" si="55"/>
        <v>1698</v>
      </c>
      <c r="Y117" s="188">
        <f t="shared" si="56"/>
        <v>1182</v>
      </c>
    </row>
    <row r="118" spans="1:25" ht="14" x14ac:dyDescent="0.2">
      <c r="A118" s="189">
        <v>52</v>
      </c>
      <c r="B118" s="187"/>
      <c r="C118" s="190">
        <f t="shared" si="43"/>
        <v>6682</v>
      </c>
      <c r="D118" s="190">
        <f t="shared" si="44"/>
        <v>5814</v>
      </c>
      <c r="E118" s="190">
        <f t="shared" si="45"/>
        <v>4677</v>
      </c>
      <c r="F118" s="190">
        <f t="shared" si="46"/>
        <v>4317</v>
      </c>
      <c r="G118" s="190">
        <f t="shared" si="47"/>
        <v>2430</v>
      </c>
      <c r="H118" s="190">
        <f t="shared" si="48"/>
        <v>1840</v>
      </c>
      <c r="I118" s="190">
        <f t="shared" si="49"/>
        <v>1288</v>
      </c>
      <c r="K118" s="186">
        <f>IF('INGRESO DE DATOS'!$W$19=1,'Tablas Guyanas y Santa Elena'!C115,'Tablas Resto de Ecuador'!C115)</f>
        <v>6682</v>
      </c>
      <c r="L118" s="186">
        <f>IF('INGRESO DE DATOS'!$W$19=1,'Tablas Guyanas y Santa Elena'!D115,'Tablas Resto de Ecuador'!D115)</f>
        <v>5814</v>
      </c>
      <c r="M118" s="186">
        <f>IF('INGRESO DE DATOS'!$W$19=1,'Tablas Guyanas y Santa Elena'!E115,'Tablas Resto de Ecuador'!E115)</f>
        <v>4677</v>
      </c>
      <c r="N118" s="186">
        <f>IF('INGRESO DE DATOS'!$W$19=1,'Tablas Guyanas y Santa Elena'!F115,'Tablas Resto de Ecuador'!F115)</f>
        <v>4317</v>
      </c>
      <c r="O118" s="186">
        <f>IF('INGRESO DE DATOS'!$W$19=1,'Tablas Guyanas y Santa Elena'!G115,'Tablas Resto de Ecuador'!G115)</f>
        <v>2430</v>
      </c>
      <c r="P118" s="186">
        <f>IF('INGRESO DE DATOS'!$W$19=1,'Tablas Guyanas y Santa Elena'!H115,'Tablas Resto de Ecuador'!H115)</f>
        <v>1840</v>
      </c>
      <c r="Q118" s="186">
        <f>IF('INGRESO DE DATOS'!$W$19=1,'Tablas Guyanas y Santa Elena'!I115,'Tablas Resto de Ecuador'!I115)</f>
        <v>1288</v>
      </c>
      <c r="S118" s="188">
        <f t="shared" si="50"/>
        <v>6682</v>
      </c>
      <c r="T118" s="188">
        <f t="shared" si="51"/>
        <v>5814</v>
      </c>
      <c r="U118" s="188">
        <f t="shared" si="52"/>
        <v>4677</v>
      </c>
      <c r="V118" s="188">
        <f t="shared" si="53"/>
        <v>4317</v>
      </c>
      <c r="W118" s="188">
        <f t="shared" si="54"/>
        <v>2430</v>
      </c>
      <c r="X118" s="188">
        <f t="shared" si="55"/>
        <v>1840</v>
      </c>
      <c r="Y118" s="188">
        <f t="shared" si="56"/>
        <v>1288</v>
      </c>
    </row>
    <row r="119" spans="1:25" ht="14" x14ac:dyDescent="0.2">
      <c r="A119" s="189">
        <v>53</v>
      </c>
      <c r="B119" s="187"/>
      <c r="C119" s="190">
        <f t="shared" si="43"/>
        <v>6920</v>
      </c>
      <c r="D119" s="190">
        <f t="shared" si="44"/>
        <v>6017</v>
      </c>
      <c r="E119" s="190">
        <f t="shared" si="45"/>
        <v>4923</v>
      </c>
      <c r="F119" s="190">
        <f t="shared" si="46"/>
        <v>4562</v>
      </c>
      <c r="G119" s="190">
        <f t="shared" si="47"/>
        <v>2558</v>
      </c>
      <c r="H119" s="190">
        <f t="shared" si="48"/>
        <v>1989</v>
      </c>
      <c r="I119" s="190">
        <f t="shared" si="49"/>
        <v>1401</v>
      </c>
      <c r="K119" s="186">
        <f>IF('INGRESO DE DATOS'!$W$19=1,'Tablas Guyanas y Santa Elena'!C116,'Tablas Resto de Ecuador'!C116)</f>
        <v>6920</v>
      </c>
      <c r="L119" s="186">
        <f>IF('INGRESO DE DATOS'!$W$19=1,'Tablas Guyanas y Santa Elena'!D116,'Tablas Resto de Ecuador'!D116)</f>
        <v>6017</v>
      </c>
      <c r="M119" s="186">
        <f>IF('INGRESO DE DATOS'!$W$19=1,'Tablas Guyanas y Santa Elena'!E116,'Tablas Resto de Ecuador'!E116)</f>
        <v>4923</v>
      </c>
      <c r="N119" s="186">
        <f>IF('INGRESO DE DATOS'!$W$19=1,'Tablas Guyanas y Santa Elena'!F116,'Tablas Resto de Ecuador'!F116)</f>
        <v>4562</v>
      </c>
      <c r="O119" s="186">
        <f>IF('INGRESO DE DATOS'!$W$19=1,'Tablas Guyanas y Santa Elena'!G116,'Tablas Resto de Ecuador'!G116)</f>
        <v>2558</v>
      </c>
      <c r="P119" s="186">
        <f>IF('INGRESO DE DATOS'!$W$19=1,'Tablas Guyanas y Santa Elena'!H116,'Tablas Resto de Ecuador'!H116)</f>
        <v>1989</v>
      </c>
      <c r="Q119" s="186">
        <f>IF('INGRESO DE DATOS'!$W$19=1,'Tablas Guyanas y Santa Elena'!I116,'Tablas Resto de Ecuador'!I116)</f>
        <v>1401</v>
      </c>
      <c r="S119" s="188">
        <f t="shared" si="50"/>
        <v>6920</v>
      </c>
      <c r="T119" s="188">
        <f t="shared" si="51"/>
        <v>6017</v>
      </c>
      <c r="U119" s="188">
        <f t="shared" si="52"/>
        <v>4923</v>
      </c>
      <c r="V119" s="188">
        <f t="shared" si="53"/>
        <v>4562</v>
      </c>
      <c r="W119" s="188">
        <f t="shared" si="54"/>
        <v>2558</v>
      </c>
      <c r="X119" s="188">
        <f t="shared" si="55"/>
        <v>1989</v>
      </c>
      <c r="Y119" s="188">
        <f t="shared" si="56"/>
        <v>1401</v>
      </c>
    </row>
    <row r="120" spans="1:25" ht="14" x14ac:dyDescent="0.2">
      <c r="A120" s="189">
        <v>54</v>
      </c>
      <c r="B120" s="187"/>
      <c r="C120" s="190">
        <f t="shared" si="43"/>
        <v>7158</v>
      </c>
      <c r="D120" s="190">
        <f t="shared" si="44"/>
        <v>6222</v>
      </c>
      <c r="E120" s="190">
        <f t="shared" si="45"/>
        <v>5208</v>
      </c>
      <c r="F120" s="190">
        <f t="shared" si="46"/>
        <v>4771</v>
      </c>
      <c r="G120" s="190">
        <f t="shared" si="47"/>
        <v>2682</v>
      </c>
      <c r="H120" s="190">
        <f t="shared" si="48"/>
        <v>2153</v>
      </c>
      <c r="I120" s="190">
        <f t="shared" si="49"/>
        <v>1522</v>
      </c>
      <c r="K120" s="186">
        <f>IF('INGRESO DE DATOS'!$W$19=1,'Tablas Guyanas y Santa Elena'!C117,'Tablas Resto de Ecuador'!C117)</f>
        <v>7158</v>
      </c>
      <c r="L120" s="186">
        <f>IF('INGRESO DE DATOS'!$W$19=1,'Tablas Guyanas y Santa Elena'!D117,'Tablas Resto de Ecuador'!D117)</f>
        <v>6222</v>
      </c>
      <c r="M120" s="186">
        <f>IF('INGRESO DE DATOS'!$W$19=1,'Tablas Guyanas y Santa Elena'!E117,'Tablas Resto de Ecuador'!E117)</f>
        <v>5208</v>
      </c>
      <c r="N120" s="186">
        <f>IF('INGRESO DE DATOS'!$W$19=1,'Tablas Guyanas y Santa Elena'!F117,'Tablas Resto de Ecuador'!F117)</f>
        <v>4771</v>
      </c>
      <c r="O120" s="186">
        <f>IF('INGRESO DE DATOS'!$W$19=1,'Tablas Guyanas y Santa Elena'!G117,'Tablas Resto de Ecuador'!G117)</f>
        <v>2682</v>
      </c>
      <c r="P120" s="186">
        <f>IF('INGRESO DE DATOS'!$W$19=1,'Tablas Guyanas y Santa Elena'!H117,'Tablas Resto de Ecuador'!H117)</f>
        <v>2153</v>
      </c>
      <c r="Q120" s="186">
        <f>IF('INGRESO DE DATOS'!$W$19=1,'Tablas Guyanas y Santa Elena'!I117,'Tablas Resto de Ecuador'!I117)</f>
        <v>1522</v>
      </c>
      <c r="S120" s="188">
        <f t="shared" si="50"/>
        <v>7158</v>
      </c>
      <c r="T120" s="188">
        <f t="shared" si="51"/>
        <v>6222</v>
      </c>
      <c r="U120" s="188">
        <f t="shared" si="52"/>
        <v>5208</v>
      </c>
      <c r="V120" s="188">
        <f t="shared" si="53"/>
        <v>4771</v>
      </c>
      <c r="W120" s="188">
        <f t="shared" si="54"/>
        <v>2682</v>
      </c>
      <c r="X120" s="188">
        <f t="shared" si="55"/>
        <v>2153</v>
      </c>
      <c r="Y120" s="188">
        <f t="shared" si="56"/>
        <v>1522</v>
      </c>
    </row>
    <row r="121" spans="1:25" ht="14" x14ac:dyDescent="0.2">
      <c r="A121" s="189">
        <v>55</v>
      </c>
      <c r="B121" s="187"/>
      <c r="C121" s="190">
        <f t="shared" si="43"/>
        <v>7399</v>
      </c>
      <c r="D121" s="190">
        <f t="shared" si="44"/>
        <v>6433</v>
      </c>
      <c r="E121" s="190">
        <f t="shared" si="45"/>
        <v>5526</v>
      </c>
      <c r="F121" s="190">
        <f t="shared" si="46"/>
        <v>4971</v>
      </c>
      <c r="G121" s="190">
        <f t="shared" si="47"/>
        <v>2805</v>
      </c>
      <c r="H121" s="190">
        <f t="shared" si="48"/>
        <v>2310</v>
      </c>
      <c r="I121" s="190">
        <f t="shared" si="49"/>
        <v>1652</v>
      </c>
      <c r="K121" s="186">
        <f>IF('INGRESO DE DATOS'!$W$19=1,'Tablas Guyanas y Santa Elena'!C118,'Tablas Resto de Ecuador'!C118)</f>
        <v>7399</v>
      </c>
      <c r="L121" s="186">
        <f>IF('INGRESO DE DATOS'!$W$19=1,'Tablas Guyanas y Santa Elena'!D118,'Tablas Resto de Ecuador'!D118)</f>
        <v>6433</v>
      </c>
      <c r="M121" s="186">
        <f>IF('INGRESO DE DATOS'!$W$19=1,'Tablas Guyanas y Santa Elena'!E118,'Tablas Resto de Ecuador'!E118)</f>
        <v>5526</v>
      </c>
      <c r="N121" s="186">
        <f>IF('INGRESO DE DATOS'!$W$19=1,'Tablas Guyanas y Santa Elena'!F118,'Tablas Resto de Ecuador'!F118)</f>
        <v>4971</v>
      </c>
      <c r="O121" s="186">
        <f>IF('INGRESO DE DATOS'!$W$19=1,'Tablas Guyanas y Santa Elena'!G118,'Tablas Resto de Ecuador'!G118)</f>
        <v>2805</v>
      </c>
      <c r="P121" s="186">
        <f>IF('INGRESO DE DATOS'!$W$19=1,'Tablas Guyanas y Santa Elena'!H118,'Tablas Resto de Ecuador'!H118)</f>
        <v>2310</v>
      </c>
      <c r="Q121" s="186">
        <f>IF('INGRESO DE DATOS'!$W$19=1,'Tablas Guyanas y Santa Elena'!I118,'Tablas Resto de Ecuador'!I118)</f>
        <v>1652</v>
      </c>
      <c r="S121" s="188">
        <f t="shared" si="50"/>
        <v>7399</v>
      </c>
      <c r="T121" s="188">
        <f t="shared" si="51"/>
        <v>6433</v>
      </c>
      <c r="U121" s="188">
        <f t="shared" si="52"/>
        <v>5526</v>
      </c>
      <c r="V121" s="188">
        <f t="shared" si="53"/>
        <v>4971</v>
      </c>
      <c r="W121" s="188">
        <f t="shared" si="54"/>
        <v>2805</v>
      </c>
      <c r="X121" s="188">
        <f t="shared" si="55"/>
        <v>2310</v>
      </c>
      <c r="Y121" s="188">
        <f t="shared" si="56"/>
        <v>1652</v>
      </c>
    </row>
    <row r="122" spans="1:25" ht="14" x14ac:dyDescent="0.2">
      <c r="A122" s="189">
        <v>56</v>
      </c>
      <c r="B122" s="187"/>
      <c r="C122" s="190">
        <f t="shared" si="43"/>
        <v>7633</v>
      </c>
      <c r="D122" s="190">
        <f t="shared" si="44"/>
        <v>6636</v>
      </c>
      <c r="E122" s="190">
        <f t="shared" si="45"/>
        <v>5871</v>
      </c>
      <c r="F122" s="190">
        <f t="shared" si="46"/>
        <v>5178</v>
      </c>
      <c r="G122" s="190">
        <f t="shared" si="47"/>
        <v>2945</v>
      </c>
      <c r="H122" s="190">
        <f t="shared" si="48"/>
        <v>2404</v>
      </c>
      <c r="I122" s="190">
        <f t="shared" si="49"/>
        <v>1791</v>
      </c>
      <c r="K122" s="186">
        <f>IF('INGRESO DE DATOS'!$W$19=1,'Tablas Guyanas y Santa Elena'!C119,'Tablas Resto de Ecuador'!C119)</f>
        <v>7633</v>
      </c>
      <c r="L122" s="186">
        <f>IF('INGRESO DE DATOS'!$W$19=1,'Tablas Guyanas y Santa Elena'!D119,'Tablas Resto de Ecuador'!D119)</f>
        <v>6636</v>
      </c>
      <c r="M122" s="186">
        <f>IF('INGRESO DE DATOS'!$W$19=1,'Tablas Guyanas y Santa Elena'!E119,'Tablas Resto de Ecuador'!E119)</f>
        <v>5871</v>
      </c>
      <c r="N122" s="186">
        <f>IF('INGRESO DE DATOS'!$W$19=1,'Tablas Guyanas y Santa Elena'!F119,'Tablas Resto de Ecuador'!F119)</f>
        <v>5178</v>
      </c>
      <c r="O122" s="186">
        <f>IF('INGRESO DE DATOS'!$W$19=1,'Tablas Guyanas y Santa Elena'!G119,'Tablas Resto de Ecuador'!G119)</f>
        <v>2945</v>
      </c>
      <c r="P122" s="186">
        <f>IF('INGRESO DE DATOS'!$W$19=1,'Tablas Guyanas y Santa Elena'!H119,'Tablas Resto de Ecuador'!H119)</f>
        <v>2404</v>
      </c>
      <c r="Q122" s="186">
        <f>IF('INGRESO DE DATOS'!$W$19=1,'Tablas Guyanas y Santa Elena'!I119,'Tablas Resto de Ecuador'!I119)</f>
        <v>1791</v>
      </c>
      <c r="S122" s="188">
        <f t="shared" si="50"/>
        <v>7633</v>
      </c>
      <c r="T122" s="188">
        <f t="shared" si="51"/>
        <v>6636</v>
      </c>
      <c r="U122" s="188">
        <f t="shared" si="52"/>
        <v>5871</v>
      </c>
      <c r="V122" s="188">
        <f t="shared" si="53"/>
        <v>5178</v>
      </c>
      <c r="W122" s="188">
        <f t="shared" si="54"/>
        <v>2945</v>
      </c>
      <c r="X122" s="188">
        <f t="shared" si="55"/>
        <v>2404</v>
      </c>
      <c r="Y122" s="188">
        <f t="shared" si="56"/>
        <v>1791</v>
      </c>
    </row>
    <row r="123" spans="1:25" ht="14" x14ac:dyDescent="0.2">
      <c r="A123" s="189">
        <v>57</v>
      </c>
      <c r="B123" s="187"/>
      <c r="C123" s="190">
        <f t="shared" si="43"/>
        <v>7867</v>
      </c>
      <c r="D123" s="190">
        <f t="shared" si="44"/>
        <v>6844</v>
      </c>
      <c r="E123" s="190">
        <f t="shared" si="45"/>
        <v>6238</v>
      </c>
      <c r="F123" s="190">
        <f t="shared" si="46"/>
        <v>5406</v>
      </c>
      <c r="G123" s="190">
        <f t="shared" si="47"/>
        <v>3118</v>
      </c>
      <c r="H123" s="190">
        <f t="shared" si="48"/>
        <v>2520</v>
      </c>
      <c r="I123" s="190">
        <f t="shared" si="49"/>
        <v>1943</v>
      </c>
      <c r="K123" s="186">
        <f>IF('INGRESO DE DATOS'!$W$19=1,'Tablas Guyanas y Santa Elena'!C120,'Tablas Resto de Ecuador'!C120)</f>
        <v>7867</v>
      </c>
      <c r="L123" s="186">
        <f>IF('INGRESO DE DATOS'!$W$19=1,'Tablas Guyanas y Santa Elena'!D120,'Tablas Resto de Ecuador'!D120)</f>
        <v>6844</v>
      </c>
      <c r="M123" s="186">
        <f>IF('INGRESO DE DATOS'!$W$19=1,'Tablas Guyanas y Santa Elena'!E120,'Tablas Resto de Ecuador'!E120)</f>
        <v>6238</v>
      </c>
      <c r="N123" s="186">
        <f>IF('INGRESO DE DATOS'!$W$19=1,'Tablas Guyanas y Santa Elena'!F120,'Tablas Resto de Ecuador'!F120)</f>
        <v>5406</v>
      </c>
      <c r="O123" s="186">
        <f>IF('INGRESO DE DATOS'!$W$19=1,'Tablas Guyanas y Santa Elena'!G120,'Tablas Resto de Ecuador'!G120)</f>
        <v>3118</v>
      </c>
      <c r="P123" s="186">
        <f>IF('INGRESO DE DATOS'!$W$19=1,'Tablas Guyanas y Santa Elena'!H120,'Tablas Resto de Ecuador'!H120)</f>
        <v>2520</v>
      </c>
      <c r="Q123" s="186">
        <f>IF('INGRESO DE DATOS'!$W$19=1,'Tablas Guyanas y Santa Elena'!I120,'Tablas Resto de Ecuador'!I120)</f>
        <v>1943</v>
      </c>
      <c r="S123" s="188">
        <f t="shared" si="50"/>
        <v>7867</v>
      </c>
      <c r="T123" s="188">
        <f t="shared" si="51"/>
        <v>6844</v>
      </c>
      <c r="U123" s="188">
        <f t="shared" si="52"/>
        <v>6238</v>
      </c>
      <c r="V123" s="188">
        <f t="shared" si="53"/>
        <v>5406</v>
      </c>
      <c r="W123" s="188">
        <f t="shared" si="54"/>
        <v>3118</v>
      </c>
      <c r="X123" s="188">
        <f t="shared" si="55"/>
        <v>2520</v>
      </c>
      <c r="Y123" s="188">
        <f t="shared" si="56"/>
        <v>1943</v>
      </c>
    </row>
    <row r="124" spans="1:25" ht="14" x14ac:dyDescent="0.2">
      <c r="A124" s="189">
        <v>58</v>
      </c>
      <c r="B124" s="187"/>
      <c r="C124" s="190">
        <f t="shared" si="43"/>
        <v>8138</v>
      </c>
      <c r="D124" s="190">
        <f t="shared" si="44"/>
        <v>7074</v>
      </c>
      <c r="E124" s="190">
        <f t="shared" si="45"/>
        <v>6548</v>
      </c>
      <c r="F124" s="190">
        <f t="shared" si="46"/>
        <v>5667</v>
      </c>
      <c r="G124" s="190">
        <f t="shared" si="47"/>
        <v>3343</v>
      </c>
      <c r="H124" s="190">
        <f t="shared" si="48"/>
        <v>2668</v>
      </c>
      <c r="I124" s="190">
        <f t="shared" si="49"/>
        <v>2105</v>
      </c>
      <c r="K124" s="186">
        <f>IF('INGRESO DE DATOS'!$W$19=1,'Tablas Guyanas y Santa Elena'!C121,'Tablas Resto de Ecuador'!C121)</f>
        <v>8138</v>
      </c>
      <c r="L124" s="186">
        <f>IF('INGRESO DE DATOS'!$W$19=1,'Tablas Guyanas y Santa Elena'!D121,'Tablas Resto de Ecuador'!D121)</f>
        <v>7074</v>
      </c>
      <c r="M124" s="186">
        <f>IF('INGRESO DE DATOS'!$W$19=1,'Tablas Guyanas y Santa Elena'!E121,'Tablas Resto de Ecuador'!E121)</f>
        <v>6548</v>
      </c>
      <c r="N124" s="186">
        <f>IF('INGRESO DE DATOS'!$W$19=1,'Tablas Guyanas y Santa Elena'!F121,'Tablas Resto de Ecuador'!F121)</f>
        <v>5667</v>
      </c>
      <c r="O124" s="186">
        <f>IF('INGRESO DE DATOS'!$W$19=1,'Tablas Guyanas y Santa Elena'!G121,'Tablas Resto de Ecuador'!G121)</f>
        <v>3343</v>
      </c>
      <c r="P124" s="186">
        <f>IF('INGRESO DE DATOS'!$W$19=1,'Tablas Guyanas y Santa Elena'!H121,'Tablas Resto de Ecuador'!H121)</f>
        <v>2668</v>
      </c>
      <c r="Q124" s="186">
        <f>IF('INGRESO DE DATOS'!$W$19=1,'Tablas Guyanas y Santa Elena'!I121,'Tablas Resto de Ecuador'!I121)</f>
        <v>2105</v>
      </c>
      <c r="S124" s="188">
        <f t="shared" si="50"/>
        <v>8138</v>
      </c>
      <c r="T124" s="188">
        <f t="shared" si="51"/>
        <v>7074</v>
      </c>
      <c r="U124" s="188">
        <f t="shared" si="52"/>
        <v>6548</v>
      </c>
      <c r="V124" s="188">
        <f t="shared" si="53"/>
        <v>5667</v>
      </c>
      <c r="W124" s="188">
        <f t="shared" si="54"/>
        <v>3343</v>
      </c>
      <c r="X124" s="188">
        <f t="shared" si="55"/>
        <v>2668</v>
      </c>
      <c r="Y124" s="188">
        <f t="shared" si="56"/>
        <v>2105</v>
      </c>
    </row>
    <row r="125" spans="1:25" ht="14" x14ac:dyDescent="0.2">
      <c r="A125" s="189">
        <v>59</v>
      </c>
      <c r="B125" s="187"/>
      <c r="C125" s="190">
        <f t="shared" si="43"/>
        <v>8410</v>
      </c>
      <c r="D125" s="190">
        <f t="shared" si="44"/>
        <v>7314</v>
      </c>
      <c r="E125" s="190">
        <f t="shared" si="45"/>
        <v>6744</v>
      </c>
      <c r="F125" s="190">
        <f t="shared" si="46"/>
        <v>5923</v>
      </c>
      <c r="G125" s="190">
        <f t="shared" si="47"/>
        <v>3620</v>
      </c>
      <c r="H125" s="190">
        <f t="shared" si="48"/>
        <v>2846</v>
      </c>
      <c r="I125" s="190">
        <f t="shared" si="49"/>
        <v>2278</v>
      </c>
      <c r="K125" s="186">
        <f>IF('INGRESO DE DATOS'!$W$19=1,'Tablas Guyanas y Santa Elena'!C122,'Tablas Resto de Ecuador'!C122)</f>
        <v>8410</v>
      </c>
      <c r="L125" s="186">
        <f>IF('INGRESO DE DATOS'!$W$19=1,'Tablas Guyanas y Santa Elena'!D122,'Tablas Resto de Ecuador'!D122)</f>
        <v>7314</v>
      </c>
      <c r="M125" s="186">
        <f>IF('INGRESO DE DATOS'!$W$19=1,'Tablas Guyanas y Santa Elena'!E122,'Tablas Resto de Ecuador'!E122)</f>
        <v>6744</v>
      </c>
      <c r="N125" s="186">
        <f>IF('INGRESO DE DATOS'!$W$19=1,'Tablas Guyanas y Santa Elena'!F122,'Tablas Resto de Ecuador'!F122)</f>
        <v>5923</v>
      </c>
      <c r="O125" s="186">
        <f>IF('INGRESO DE DATOS'!$W$19=1,'Tablas Guyanas y Santa Elena'!G122,'Tablas Resto de Ecuador'!G122)</f>
        <v>3620</v>
      </c>
      <c r="P125" s="186">
        <f>IF('INGRESO DE DATOS'!$W$19=1,'Tablas Guyanas y Santa Elena'!H122,'Tablas Resto de Ecuador'!H122)</f>
        <v>2846</v>
      </c>
      <c r="Q125" s="186">
        <f>IF('INGRESO DE DATOS'!$W$19=1,'Tablas Guyanas y Santa Elena'!I122,'Tablas Resto de Ecuador'!I122)</f>
        <v>2278</v>
      </c>
      <c r="S125" s="188">
        <f t="shared" si="50"/>
        <v>8410</v>
      </c>
      <c r="T125" s="188">
        <f t="shared" si="51"/>
        <v>7314</v>
      </c>
      <c r="U125" s="188">
        <f t="shared" si="52"/>
        <v>6744</v>
      </c>
      <c r="V125" s="188">
        <f t="shared" si="53"/>
        <v>5923</v>
      </c>
      <c r="W125" s="188">
        <f t="shared" si="54"/>
        <v>3620</v>
      </c>
      <c r="X125" s="188">
        <f t="shared" si="55"/>
        <v>2846</v>
      </c>
      <c r="Y125" s="188">
        <f t="shared" si="56"/>
        <v>2278</v>
      </c>
    </row>
    <row r="126" spans="1:25" ht="14" x14ac:dyDescent="0.2">
      <c r="A126" s="189">
        <v>60</v>
      </c>
      <c r="B126" s="187"/>
      <c r="C126" s="190">
        <f t="shared" si="43"/>
        <v>8680</v>
      </c>
      <c r="D126" s="190">
        <f t="shared" si="44"/>
        <v>7548</v>
      </c>
      <c r="E126" s="190">
        <f t="shared" si="45"/>
        <v>6948</v>
      </c>
      <c r="F126" s="190">
        <f t="shared" si="46"/>
        <v>6166</v>
      </c>
      <c r="G126" s="190">
        <f t="shared" si="47"/>
        <v>3938</v>
      </c>
      <c r="H126" s="190">
        <f t="shared" si="48"/>
        <v>3048</v>
      </c>
      <c r="I126" s="190">
        <f t="shared" si="49"/>
        <v>2465</v>
      </c>
      <c r="K126" s="186">
        <f>IF('INGRESO DE DATOS'!$W$19=1,'Tablas Guyanas y Santa Elena'!C123,'Tablas Resto de Ecuador'!C123)</f>
        <v>8680</v>
      </c>
      <c r="L126" s="186">
        <f>IF('INGRESO DE DATOS'!$W$19=1,'Tablas Guyanas y Santa Elena'!D123,'Tablas Resto de Ecuador'!D123)</f>
        <v>7548</v>
      </c>
      <c r="M126" s="186">
        <f>IF('INGRESO DE DATOS'!$W$19=1,'Tablas Guyanas y Santa Elena'!E123,'Tablas Resto de Ecuador'!E123)</f>
        <v>6948</v>
      </c>
      <c r="N126" s="186">
        <f>IF('INGRESO DE DATOS'!$W$19=1,'Tablas Guyanas y Santa Elena'!F123,'Tablas Resto de Ecuador'!F123)</f>
        <v>6166</v>
      </c>
      <c r="O126" s="186">
        <f>IF('INGRESO DE DATOS'!$W$19=1,'Tablas Guyanas y Santa Elena'!G123,'Tablas Resto de Ecuador'!G123)</f>
        <v>3938</v>
      </c>
      <c r="P126" s="186">
        <f>IF('INGRESO DE DATOS'!$W$19=1,'Tablas Guyanas y Santa Elena'!H123,'Tablas Resto de Ecuador'!H123)</f>
        <v>3048</v>
      </c>
      <c r="Q126" s="186">
        <f>IF('INGRESO DE DATOS'!$W$19=1,'Tablas Guyanas y Santa Elena'!I123,'Tablas Resto de Ecuador'!I123)</f>
        <v>2465</v>
      </c>
      <c r="S126" s="188">
        <f t="shared" si="50"/>
        <v>8680</v>
      </c>
      <c r="T126" s="188">
        <f t="shared" si="51"/>
        <v>7548</v>
      </c>
      <c r="U126" s="188">
        <f t="shared" si="52"/>
        <v>6948</v>
      </c>
      <c r="V126" s="188">
        <f t="shared" si="53"/>
        <v>6166</v>
      </c>
      <c r="W126" s="188">
        <f t="shared" si="54"/>
        <v>3938</v>
      </c>
      <c r="X126" s="188">
        <f t="shared" si="55"/>
        <v>3048</v>
      </c>
      <c r="Y126" s="188">
        <f t="shared" si="56"/>
        <v>2465</v>
      </c>
    </row>
    <row r="127" spans="1:25" ht="14" x14ac:dyDescent="0.2">
      <c r="A127" s="189">
        <v>61</v>
      </c>
      <c r="B127" s="187"/>
      <c r="C127" s="190">
        <f t="shared" si="43"/>
        <v>9015</v>
      </c>
      <c r="D127" s="190">
        <f t="shared" si="44"/>
        <v>7837</v>
      </c>
      <c r="E127" s="190">
        <f t="shared" si="45"/>
        <v>7247</v>
      </c>
      <c r="F127" s="190">
        <f t="shared" si="46"/>
        <v>6452</v>
      </c>
      <c r="G127" s="190">
        <f t="shared" si="47"/>
        <v>4295</v>
      </c>
      <c r="H127" s="190">
        <f t="shared" si="48"/>
        <v>3275</v>
      </c>
      <c r="I127" s="190">
        <f t="shared" si="49"/>
        <v>2602</v>
      </c>
      <c r="K127" s="186">
        <f>IF('INGRESO DE DATOS'!$W$19=1,'Tablas Guyanas y Santa Elena'!C124,'Tablas Resto de Ecuador'!C124)</f>
        <v>9015</v>
      </c>
      <c r="L127" s="186">
        <f>IF('INGRESO DE DATOS'!$W$19=1,'Tablas Guyanas y Santa Elena'!D124,'Tablas Resto de Ecuador'!D124)</f>
        <v>7837</v>
      </c>
      <c r="M127" s="186">
        <f>IF('INGRESO DE DATOS'!$W$19=1,'Tablas Guyanas y Santa Elena'!E124,'Tablas Resto de Ecuador'!E124)</f>
        <v>7247</v>
      </c>
      <c r="N127" s="186">
        <f>IF('INGRESO DE DATOS'!$W$19=1,'Tablas Guyanas y Santa Elena'!F124,'Tablas Resto de Ecuador'!F124)</f>
        <v>6452</v>
      </c>
      <c r="O127" s="186">
        <f>IF('INGRESO DE DATOS'!$W$19=1,'Tablas Guyanas y Santa Elena'!G124,'Tablas Resto de Ecuador'!G124)</f>
        <v>4295</v>
      </c>
      <c r="P127" s="186">
        <f>IF('INGRESO DE DATOS'!$W$19=1,'Tablas Guyanas y Santa Elena'!H124,'Tablas Resto de Ecuador'!H124)</f>
        <v>3275</v>
      </c>
      <c r="Q127" s="186">
        <f>IF('INGRESO DE DATOS'!$W$19=1,'Tablas Guyanas y Santa Elena'!I124,'Tablas Resto de Ecuador'!I124)</f>
        <v>2602</v>
      </c>
      <c r="S127" s="188">
        <f t="shared" si="50"/>
        <v>9015</v>
      </c>
      <c r="T127" s="188">
        <f t="shared" si="51"/>
        <v>7837</v>
      </c>
      <c r="U127" s="188">
        <f t="shared" si="52"/>
        <v>7247</v>
      </c>
      <c r="V127" s="188">
        <f t="shared" si="53"/>
        <v>6452</v>
      </c>
      <c r="W127" s="188">
        <f t="shared" si="54"/>
        <v>4295</v>
      </c>
      <c r="X127" s="188">
        <f t="shared" si="55"/>
        <v>3275</v>
      </c>
      <c r="Y127" s="188">
        <f t="shared" si="56"/>
        <v>2602</v>
      </c>
    </row>
    <row r="128" spans="1:25" ht="14" x14ac:dyDescent="0.2">
      <c r="A128" s="189">
        <v>62</v>
      </c>
      <c r="B128" s="187"/>
      <c r="C128" s="190">
        <f t="shared" si="43"/>
        <v>9420</v>
      </c>
      <c r="D128" s="190">
        <f t="shared" si="44"/>
        <v>8191</v>
      </c>
      <c r="E128" s="190">
        <f t="shared" si="45"/>
        <v>7601</v>
      </c>
      <c r="F128" s="190">
        <f t="shared" si="46"/>
        <v>6841</v>
      </c>
      <c r="G128" s="190">
        <f t="shared" si="47"/>
        <v>4655</v>
      </c>
      <c r="H128" s="190">
        <f t="shared" si="48"/>
        <v>3534</v>
      </c>
      <c r="I128" s="190">
        <f t="shared" si="49"/>
        <v>2690</v>
      </c>
      <c r="K128" s="186">
        <f>IF('INGRESO DE DATOS'!$W$19=1,'Tablas Guyanas y Santa Elena'!C125,'Tablas Resto de Ecuador'!C125)</f>
        <v>9420</v>
      </c>
      <c r="L128" s="186">
        <f>IF('INGRESO DE DATOS'!$W$19=1,'Tablas Guyanas y Santa Elena'!D125,'Tablas Resto de Ecuador'!D125)</f>
        <v>8191</v>
      </c>
      <c r="M128" s="186">
        <f>IF('INGRESO DE DATOS'!$W$19=1,'Tablas Guyanas y Santa Elena'!E125,'Tablas Resto de Ecuador'!E125)</f>
        <v>7601</v>
      </c>
      <c r="N128" s="186">
        <f>IF('INGRESO DE DATOS'!$W$19=1,'Tablas Guyanas y Santa Elena'!F125,'Tablas Resto de Ecuador'!F125)</f>
        <v>6841</v>
      </c>
      <c r="O128" s="186">
        <f>IF('INGRESO DE DATOS'!$W$19=1,'Tablas Guyanas y Santa Elena'!G125,'Tablas Resto de Ecuador'!G125)</f>
        <v>4655</v>
      </c>
      <c r="P128" s="186">
        <f>IF('INGRESO DE DATOS'!$W$19=1,'Tablas Guyanas y Santa Elena'!H125,'Tablas Resto de Ecuador'!H125)</f>
        <v>3534</v>
      </c>
      <c r="Q128" s="186">
        <f>IF('INGRESO DE DATOS'!$W$19=1,'Tablas Guyanas y Santa Elena'!I125,'Tablas Resto de Ecuador'!I125)</f>
        <v>2690</v>
      </c>
      <c r="S128" s="188">
        <f t="shared" si="50"/>
        <v>9420</v>
      </c>
      <c r="T128" s="188">
        <f t="shared" si="51"/>
        <v>8191</v>
      </c>
      <c r="U128" s="188">
        <f t="shared" si="52"/>
        <v>7601</v>
      </c>
      <c r="V128" s="188">
        <f t="shared" si="53"/>
        <v>6841</v>
      </c>
      <c r="W128" s="188">
        <f t="shared" si="54"/>
        <v>4655</v>
      </c>
      <c r="X128" s="188">
        <f t="shared" si="55"/>
        <v>3534</v>
      </c>
      <c r="Y128" s="188">
        <f t="shared" si="56"/>
        <v>2690</v>
      </c>
    </row>
    <row r="129" spans="1:25" ht="14" x14ac:dyDescent="0.2">
      <c r="A129" s="189">
        <v>63</v>
      </c>
      <c r="B129" s="187"/>
      <c r="C129" s="190">
        <f t="shared" si="43"/>
        <v>9905</v>
      </c>
      <c r="D129" s="190">
        <f t="shared" si="44"/>
        <v>8611</v>
      </c>
      <c r="E129" s="190">
        <f t="shared" si="45"/>
        <v>7994</v>
      </c>
      <c r="F129" s="190">
        <f t="shared" si="46"/>
        <v>7233</v>
      </c>
      <c r="G129" s="190">
        <f t="shared" si="47"/>
        <v>4898</v>
      </c>
      <c r="H129" s="190">
        <f t="shared" si="48"/>
        <v>3824</v>
      </c>
      <c r="I129" s="190">
        <f t="shared" si="49"/>
        <v>2879</v>
      </c>
      <c r="K129" s="186">
        <f>IF('INGRESO DE DATOS'!$W$19=1,'Tablas Guyanas y Santa Elena'!C126,'Tablas Resto de Ecuador'!C126)</f>
        <v>9905</v>
      </c>
      <c r="L129" s="186">
        <f>IF('INGRESO DE DATOS'!$W$19=1,'Tablas Guyanas y Santa Elena'!D126,'Tablas Resto de Ecuador'!D126)</f>
        <v>8611</v>
      </c>
      <c r="M129" s="186">
        <f>IF('INGRESO DE DATOS'!$W$19=1,'Tablas Guyanas y Santa Elena'!E126,'Tablas Resto de Ecuador'!E126)</f>
        <v>7994</v>
      </c>
      <c r="N129" s="186">
        <f>IF('INGRESO DE DATOS'!$W$19=1,'Tablas Guyanas y Santa Elena'!F126,'Tablas Resto de Ecuador'!F126)</f>
        <v>7233</v>
      </c>
      <c r="O129" s="186">
        <f>IF('INGRESO DE DATOS'!$W$19=1,'Tablas Guyanas y Santa Elena'!G126,'Tablas Resto de Ecuador'!G126)</f>
        <v>4898</v>
      </c>
      <c r="P129" s="186">
        <f>IF('INGRESO DE DATOS'!$W$19=1,'Tablas Guyanas y Santa Elena'!H126,'Tablas Resto de Ecuador'!H126)</f>
        <v>3824</v>
      </c>
      <c r="Q129" s="186">
        <f>IF('INGRESO DE DATOS'!$W$19=1,'Tablas Guyanas y Santa Elena'!I126,'Tablas Resto de Ecuador'!I126)</f>
        <v>2879</v>
      </c>
      <c r="S129" s="188">
        <f t="shared" si="50"/>
        <v>9905</v>
      </c>
      <c r="T129" s="188">
        <f t="shared" si="51"/>
        <v>8611</v>
      </c>
      <c r="U129" s="188">
        <f t="shared" si="52"/>
        <v>7994</v>
      </c>
      <c r="V129" s="188">
        <f t="shared" si="53"/>
        <v>7233</v>
      </c>
      <c r="W129" s="188">
        <f t="shared" si="54"/>
        <v>4898</v>
      </c>
      <c r="X129" s="188">
        <f t="shared" si="55"/>
        <v>3824</v>
      </c>
      <c r="Y129" s="188">
        <f t="shared" si="56"/>
        <v>2879</v>
      </c>
    </row>
    <row r="130" spans="1:25" ht="14" x14ac:dyDescent="0.2">
      <c r="A130" s="189">
        <v>64</v>
      </c>
      <c r="B130" s="187"/>
      <c r="C130" s="190">
        <f t="shared" si="43"/>
        <v>10475</v>
      </c>
      <c r="D130" s="190">
        <f t="shared" si="44"/>
        <v>9112</v>
      </c>
      <c r="E130" s="190">
        <f t="shared" si="45"/>
        <v>8452</v>
      </c>
      <c r="F130" s="190">
        <f t="shared" si="46"/>
        <v>7650</v>
      </c>
      <c r="G130" s="190">
        <f t="shared" si="47"/>
        <v>5437</v>
      </c>
      <c r="H130" s="190">
        <f t="shared" si="48"/>
        <v>4132</v>
      </c>
      <c r="I130" s="190">
        <f t="shared" si="49"/>
        <v>3208</v>
      </c>
      <c r="K130" s="186">
        <f>IF('INGRESO DE DATOS'!$W$19=1,'Tablas Guyanas y Santa Elena'!C127,'Tablas Resto de Ecuador'!C127)</f>
        <v>10475</v>
      </c>
      <c r="L130" s="186">
        <f>IF('INGRESO DE DATOS'!$W$19=1,'Tablas Guyanas y Santa Elena'!D127,'Tablas Resto de Ecuador'!D127)</f>
        <v>9112</v>
      </c>
      <c r="M130" s="186">
        <f>IF('INGRESO DE DATOS'!$W$19=1,'Tablas Guyanas y Santa Elena'!E127,'Tablas Resto de Ecuador'!E127)</f>
        <v>8452</v>
      </c>
      <c r="N130" s="186">
        <f>IF('INGRESO DE DATOS'!$W$19=1,'Tablas Guyanas y Santa Elena'!F127,'Tablas Resto de Ecuador'!F127)</f>
        <v>7650</v>
      </c>
      <c r="O130" s="186">
        <f>IF('INGRESO DE DATOS'!$W$19=1,'Tablas Guyanas y Santa Elena'!G127,'Tablas Resto de Ecuador'!G127)</f>
        <v>5437</v>
      </c>
      <c r="P130" s="186">
        <f>IF('INGRESO DE DATOS'!$W$19=1,'Tablas Guyanas y Santa Elena'!H127,'Tablas Resto de Ecuador'!H127)</f>
        <v>4132</v>
      </c>
      <c r="Q130" s="186">
        <f>IF('INGRESO DE DATOS'!$W$19=1,'Tablas Guyanas y Santa Elena'!I127,'Tablas Resto de Ecuador'!I127)</f>
        <v>3208</v>
      </c>
      <c r="S130" s="188">
        <f t="shared" si="50"/>
        <v>10475</v>
      </c>
      <c r="T130" s="188">
        <f t="shared" si="51"/>
        <v>9112</v>
      </c>
      <c r="U130" s="188">
        <f t="shared" si="52"/>
        <v>8452</v>
      </c>
      <c r="V130" s="188">
        <f t="shared" si="53"/>
        <v>7650</v>
      </c>
      <c r="W130" s="188">
        <f t="shared" si="54"/>
        <v>5437</v>
      </c>
      <c r="X130" s="188">
        <f t="shared" si="55"/>
        <v>4132</v>
      </c>
      <c r="Y130" s="188">
        <f t="shared" si="56"/>
        <v>3208</v>
      </c>
    </row>
    <row r="131" spans="1:25" ht="14" x14ac:dyDescent="0.2">
      <c r="A131" s="189">
        <v>65</v>
      </c>
      <c r="B131" s="187"/>
      <c r="C131" s="190">
        <f t="shared" si="43"/>
        <v>11163</v>
      </c>
      <c r="D131" s="190">
        <f t="shared" si="44"/>
        <v>9703</v>
      </c>
      <c r="E131" s="190">
        <f t="shared" si="45"/>
        <v>9004</v>
      </c>
      <c r="F131" s="190">
        <f t="shared" si="46"/>
        <v>8221</v>
      </c>
      <c r="G131" s="190">
        <f t="shared" si="47"/>
        <v>5821</v>
      </c>
      <c r="H131" s="190">
        <f t="shared" si="48"/>
        <v>4453</v>
      </c>
      <c r="I131" s="190">
        <f t="shared" si="49"/>
        <v>3636</v>
      </c>
      <c r="K131" s="186">
        <f>IF('INGRESO DE DATOS'!$W$19=1,'Tablas Guyanas y Santa Elena'!C128,'Tablas Resto de Ecuador'!C128)</f>
        <v>11163</v>
      </c>
      <c r="L131" s="186">
        <f>IF('INGRESO DE DATOS'!$W$19=1,'Tablas Guyanas y Santa Elena'!D128,'Tablas Resto de Ecuador'!D128)</f>
        <v>9703</v>
      </c>
      <c r="M131" s="186">
        <f>IF('INGRESO DE DATOS'!$W$19=1,'Tablas Guyanas y Santa Elena'!E128,'Tablas Resto de Ecuador'!E128)</f>
        <v>9004</v>
      </c>
      <c r="N131" s="186">
        <f>IF('INGRESO DE DATOS'!$W$19=1,'Tablas Guyanas y Santa Elena'!F128,'Tablas Resto de Ecuador'!F128)</f>
        <v>8221</v>
      </c>
      <c r="O131" s="186">
        <f>IF('INGRESO DE DATOS'!$W$19=1,'Tablas Guyanas y Santa Elena'!G128,'Tablas Resto de Ecuador'!G128)</f>
        <v>5821</v>
      </c>
      <c r="P131" s="186">
        <f>IF('INGRESO DE DATOS'!$W$19=1,'Tablas Guyanas y Santa Elena'!H128,'Tablas Resto de Ecuador'!H128)</f>
        <v>4453</v>
      </c>
      <c r="Q131" s="186">
        <f>IF('INGRESO DE DATOS'!$W$19=1,'Tablas Guyanas y Santa Elena'!I128,'Tablas Resto de Ecuador'!I128)</f>
        <v>3636</v>
      </c>
      <c r="S131" s="188">
        <f t="shared" si="50"/>
        <v>11163</v>
      </c>
      <c r="T131" s="188">
        <f t="shared" si="51"/>
        <v>9703</v>
      </c>
      <c r="U131" s="188">
        <f t="shared" si="52"/>
        <v>9004</v>
      </c>
      <c r="V131" s="188">
        <f t="shared" si="53"/>
        <v>8221</v>
      </c>
      <c r="W131" s="188">
        <f t="shared" si="54"/>
        <v>5821</v>
      </c>
      <c r="X131" s="188">
        <f t="shared" si="55"/>
        <v>4453</v>
      </c>
      <c r="Y131" s="188">
        <f t="shared" si="56"/>
        <v>3636</v>
      </c>
    </row>
    <row r="132" spans="1:25" ht="14" x14ac:dyDescent="0.2">
      <c r="A132" s="189">
        <v>66</v>
      </c>
      <c r="B132" s="187"/>
      <c r="C132" s="190">
        <f t="shared" si="43"/>
        <v>11962</v>
      </c>
      <c r="D132" s="190">
        <f t="shared" si="44"/>
        <v>10403</v>
      </c>
      <c r="E132" s="190">
        <f t="shared" si="45"/>
        <v>9654</v>
      </c>
      <c r="F132" s="190">
        <f t="shared" si="46"/>
        <v>8878</v>
      </c>
      <c r="G132" s="190">
        <f t="shared" si="47"/>
        <v>6271</v>
      </c>
      <c r="H132" s="190">
        <f t="shared" si="48"/>
        <v>4813</v>
      </c>
      <c r="I132" s="190">
        <f t="shared" si="49"/>
        <v>3927</v>
      </c>
      <c r="K132" s="186">
        <f>IF('INGRESO DE DATOS'!$W$19=1,'Tablas Guyanas y Santa Elena'!C129,'Tablas Resto de Ecuador'!C129)</f>
        <v>11962</v>
      </c>
      <c r="L132" s="186">
        <f>IF('INGRESO DE DATOS'!$W$19=1,'Tablas Guyanas y Santa Elena'!D129,'Tablas Resto de Ecuador'!D129)</f>
        <v>10403</v>
      </c>
      <c r="M132" s="186">
        <f>IF('INGRESO DE DATOS'!$W$19=1,'Tablas Guyanas y Santa Elena'!E129,'Tablas Resto de Ecuador'!E129)</f>
        <v>9654</v>
      </c>
      <c r="N132" s="186">
        <f>IF('INGRESO DE DATOS'!$W$19=1,'Tablas Guyanas y Santa Elena'!F129,'Tablas Resto de Ecuador'!F129)</f>
        <v>8878</v>
      </c>
      <c r="O132" s="186">
        <f>IF('INGRESO DE DATOS'!$W$19=1,'Tablas Guyanas y Santa Elena'!G129,'Tablas Resto de Ecuador'!G129)</f>
        <v>6271</v>
      </c>
      <c r="P132" s="186">
        <f>IF('INGRESO DE DATOS'!$W$19=1,'Tablas Guyanas y Santa Elena'!H129,'Tablas Resto de Ecuador'!H129)</f>
        <v>4813</v>
      </c>
      <c r="Q132" s="186">
        <f>IF('INGRESO DE DATOS'!$W$19=1,'Tablas Guyanas y Santa Elena'!I129,'Tablas Resto de Ecuador'!I129)</f>
        <v>3927</v>
      </c>
      <c r="S132" s="188">
        <f t="shared" si="50"/>
        <v>11962</v>
      </c>
      <c r="T132" s="188">
        <f t="shared" si="51"/>
        <v>10403</v>
      </c>
      <c r="U132" s="188">
        <f t="shared" si="52"/>
        <v>9654</v>
      </c>
      <c r="V132" s="188">
        <f t="shared" si="53"/>
        <v>8878</v>
      </c>
      <c r="W132" s="188">
        <f t="shared" si="54"/>
        <v>6271</v>
      </c>
      <c r="X132" s="188">
        <f t="shared" si="55"/>
        <v>4813</v>
      </c>
      <c r="Y132" s="188">
        <f t="shared" si="56"/>
        <v>3927</v>
      </c>
    </row>
    <row r="133" spans="1:25" ht="14" x14ac:dyDescent="0.2">
      <c r="A133" s="189">
        <v>67</v>
      </c>
      <c r="B133" s="187"/>
      <c r="C133" s="190">
        <f t="shared" si="43"/>
        <v>12918</v>
      </c>
      <c r="D133" s="190">
        <f t="shared" si="44"/>
        <v>11234</v>
      </c>
      <c r="E133" s="190">
        <f t="shared" si="45"/>
        <v>10427</v>
      </c>
      <c r="F133" s="190">
        <f t="shared" si="46"/>
        <v>9594</v>
      </c>
      <c r="G133" s="190">
        <f t="shared" si="47"/>
        <v>6773</v>
      </c>
      <c r="H133" s="190">
        <f t="shared" si="48"/>
        <v>5239</v>
      </c>
      <c r="I133" s="190">
        <f t="shared" si="49"/>
        <v>4240</v>
      </c>
      <c r="K133" s="186">
        <f>IF('INGRESO DE DATOS'!$W$19=1,'Tablas Guyanas y Santa Elena'!C130,'Tablas Resto de Ecuador'!C130)</f>
        <v>12918</v>
      </c>
      <c r="L133" s="186">
        <f>IF('INGRESO DE DATOS'!$W$19=1,'Tablas Guyanas y Santa Elena'!D130,'Tablas Resto de Ecuador'!D130)</f>
        <v>11234</v>
      </c>
      <c r="M133" s="186">
        <f>IF('INGRESO DE DATOS'!$W$19=1,'Tablas Guyanas y Santa Elena'!E130,'Tablas Resto de Ecuador'!E130)</f>
        <v>10427</v>
      </c>
      <c r="N133" s="186">
        <f>IF('INGRESO DE DATOS'!$W$19=1,'Tablas Guyanas y Santa Elena'!F130,'Tablas Resto de Ecuador'!F130)</f>
        <v>9594</v>
      </c>
      <c r="O133" s="186">
        <f>IF('INGRESO DE DATOS'!$W$19=1,'Tablas Guyanas y Santa Elena'!G130,'Tablas Resto de Ecuador'!G130)</f>
        <v>6773</v>
      </c>
      <c r="P133" s="186">
        <f>IF('INGRESO DE DATOS'!$W$19=1,'Tablas Guyanas y Santa Elena'!H130,'Tablas Resto de Ecuador'!H130)</f>
        <v>5239</v>
      </c>
      <c r="Q133" s="186">
        <f>IF('INGRESO DE DATOS'!$W$19=1,'Tablas Guyanas y Santa Elena'!I130,'Tablas Resto de Ecuador'!I130)</f>
        <v>4240</v>
      </c>
      <c r="S133" s="188">
        <f t="shared" si="50"/>
        <v>12918</v>
      </c>
      <c r="T133" s="188">
        <f t="shared" si="51"/>
        <v>11234</v>
      </c>
      <c r="U133" s="188">
        <f t="shared" si="52"/>
        <v>10427</v>
      </c>
      <c r="V133" s="188">
        <f t="shared" si="53"/>
        <v>9594</v>
      </c>
      <c r="W133" s="188">
        <f t="shared" si="54"/>
        <v>6773</v>
      </c>
      <c r="X133" s="188">
        <f t="shared" si="55"/>
        <v>5239</v>
      </c>
      <c r="Y133" s="188">
        <f t="shared" si="56"/>
        <v>4240</v>
      </c>
    </row>
    <row r="134" spans="1:25" ht="14" x14ac:dyDescent="0.2">
      <c r="A134" s="189">
        <v>68</v>
      </c>
      <c r="B134" s="187"/>
      <c r="C134" s="190">
        <f t="shared" si="43"/>
        <v>14018</v>
      </c>
      <c r="D134" s="190">
        <f t="shared" si="44"/>
        <v>12187</v>
      </c>
      <c r="E134" s="190">
        <f t="shared" si="45"/>
        <v>11310</v>
      </c>
      <c r="F134" s="190">
        <f t="shared" si="46"/>
        <v>10404</v>
      </c>
      <c r="G134" s="190">
        <f t="shared" si="47"/>
        <v>7345</v>
      </c>
      <c r="H134" s="190">
        <f t="shared" si="48"/>
        <v>5754</v>
      </c>
      <c r="I134" s="190">
        <f t="shared" si="49"/>
        <v>4579</v>
      </c>
      <c r="K134" s="186">
        <f>IF('INGRESO DE DATOS'!$W$19=1,'Tablas Guyanas y Santa Elena'!C131,'Tablas Resto de Ecuador'!C131)</f>
        <v>14018</v>
      </c>
      <c r="L134" s="186">
        <f>IF('INGRESO DE DATOS'!$W$19=1,'Tablas Guyanas y Santa Elena'!D131,'Tablas Resto de Ecuador'!D131)</f>
        <v>12187</v>
      </c>
      <c r="M134" s="186">
        <f>IF('INGRESO DE DATOS'!$W$19=1,'Tablas Guyanas y Santa Elena'!E131,'Tablas Resto de Ecuador'!E131)</f>
        <v>11310</v>
      </c>
      <c r="N134" s="186">
        <f>IF('INGRESO DE DATOS'!$W$19=1,'Tablas Guyanas y Santa Elena'!F131,'Tablas Resto de Ecuador'!F131)</f>
        <v>10404</v>
      </c>
      <c r="O134" s="186">
        <f>IF('INGRESO DE DATOS'!$W$19=1,'Tablas Guyanas y Santa Elena'!G131,'Tablas Resto de Ecuador'!G131)</f>
        <v>7345</v>
      </c>
      <c r="P134" s="186">
        <f>IF('INGRESO DE DATOS'!$W$19=1,'Tablas Guyanas y Santa Elena'!H131,'Tablas Resto de Ecuador'!H131)</f>
        <v>5754</v>
      </c>
      <c r="Q134" s="186">
        <f>IF('INGRESO DE DATOS'!$W$19=1,'Tablas Guyanas y Santa Elena'!I131,'Tablas Resto de Ecuador'!I131)</f>
        <v>4579</v>
      </c>
      <c r="S134" s="188">
        <f t="shared" si="50"/>
        <v>14018</v>
      </c>
      <c r="T134" s="188">
        <f t="shared" si="51"/>
        <v>12187</v>
      </c>
      <c r="U134" s="188">
        <f t="shared" si="52"/>
        <v>11310</v>
      </c>
      <c r="V134" s="188">
        <f t="shared" si="53"/>
        <v>10404</v>
      </c>
      <c r="W134" s="188">
        <f t="shared" si="54"/>
        <v>7345</v>
      </c>
      <c r="X134" s="188">
        <f t="shared" si="55"/>
        <v>5754</v>
      </c>
      <c r="Y134" s="188">
        <f t="shared" si="56"/>
        <v>4579</v>
      </c>
    </row>
    <row r="135" spans="1:25" ht="14" x14ac:dyDescent="0.2">
      <c r="A135" s="189">
        <v>69</v>
      </c>
      <c r="B135" s="187"/>
      <c r="C135" s="190">
        <f t="shared" si="43"/>
        <v>15295</v>
      </c>
      <c r="D135" s="190">
        <f t="shared" si="44"/>
        <v>13301</v>
      </c>
      <c r="E135" s="190">
        <f t="shared" si="45"/>
        <v>12342</v>
      </c>
      <c r="F135" s="190">
        <f t="shared" si="46"/>
        <v>11362</v>
      </c>
      <c r="G135" s="190">
        <f t="shared" si="47"/>
        <v>7639</v>
      </c>
      <c r="H135" s="190">
        <f t="shared" si="48"/>
        <v>6325</v>
      </c>
      <c r="I135" s="190">
        <f t="shared" si="49"/>
        <v>4940</v>
      </c>
      <c r="K135" s="186">
        <f>IF('INGRESO DE DATOS'!$W$19=1,'Tablas Guyanas y Santa Elena'!C132,'Tablas Resto de Ecuador'!C132)</f>
        <v>15295</v>
      </c>
      <c r="L135" s="186">
        <f>IF('INGRESO DE DATOS'!$W$19=1,'Tablas Guyanas y Santa Elena'!D132,'Tablas Resto de Ecuador'!D132)</f>
        <v>13301</v>
      </c>
      <c r="M135" s="186">
        <f>IF('INGRESO DE DATOS'!$W$19=1,'Tablas Guyanas y Santa Elena'!E132,'Tablas Resto de Ecuador'!E132)</f>
        <v>12342</v>
      </c>
      <c r="N135" s="186">
        <f>IF('INGRESO DE DATOS'!$W$19=1,'Tablas Guyanas y Santa Elena'!F132,'Tablas Resto de Ecuador'!F132)</f>
        <v>11362</v>
      </c>
      <c r="O135" s="186">
        <f>IF('INGRESO DE DATOS'!$W$19=1,'Tablas Guyanas y Santa Elena'!G132,'Tablas Resto de Ecuador'!G132)</f>
        <v>7639</v>
      </c>
      <c r="P135" s="186">
        <f>IF('INGRESO DE DATOS'!$W$19=1,'Tablas Guyanas y Santa Elena'!H132,'Tablas Resto de Ecuador'!H132)</f>
        <v>6325</v>
      </c>
      <c r="Q135" s="186">
        <f>IF('INGRESO DE DATOS'!$W$19=1,'Tablas Guyanas y Santa Elena'!I132,'Tablas Resto de Ecuador'!I132)</f>
        <v>4940</v>
      </c>
      <c r="S135" s="188">
        <f t="shared" si="50"/>
        <v>15295</v>
      </c>
      <c r="T135" s="188">
        <f t="shared" si="51"/>
        <v>13301</v>
      </c>
      <c r="U135" s="188">
        <f t="shared" si="52"/>
        <v>12342</v>
      </c>
      <c r="V135" s="188">
        <f t="shared" si="53"/>
        <v>11362</v>
      </c>
      <c r="W135" s="188">
        <f t="shared" si="54"/>
        <v>7639</v>
      </c>
      <c r="X135" s="188">
        <f t="shared" si="55"/>
        <v>6325</v>
      </c>
      <c r="Y135" s="188">
        <f t="shared" si="56"/>
        <v>4940</v>
      </c>
    </row>
    <row r="136" spans="1:25" ht="14" x14ac:dyDescent="0.2">
      <c r="A136" s="189">
        <v>70</v>
      </c>
      <c r="B136" s="187"/>
      <c r="C136" s="190">
        <f t="shared" si="43"/>
        <v>16775</v>
      </c>
      <c r="D136" s="190">
        <f t="shared" si="44"/>
        <v>14588</v>
      </c>
      <c r="E136" s="190">
        <f t="shared" si="45"/>
        <v>13419</v>
      </c>
      <c r="F136" s="190">
        <f t="shared" si="46"/>
        <v>12644</v>
      </c>
      <c r="G136" s="190">
        <f t="shared" si="47"/>
        <v>8447</v>
      </c>
      <c r="H136" s="190">
        <f t="shared" si="48"/>
        <v>6934</v>
      </c>
      <c r="I136" s="190">
        <f t="shared" si="49"/>
        <v>5328</v>
      </c>
      <c r="K136" s="186">
        <f>IF('INGRESO DE DATOS'!$W$19=1,'Tablas Guyanas y Santa Elena'!C133,'Tablas Resto de Ecuador'!C133)</f>
        <v>16775</v>
      </c>
      <c r="L136" s="186">
        <f>IF('INGRESO DE DATOS'!$W$19=1,'Tablas Guyanas y Santa Elena'!D133,'Tablas Resto de Ecuador'!D133)</f>
        <v>14588</v>
      </c>
      <c r="M136" s="186">
        <f>IF('INGRESO DE DATOS'!$W$19=1,'Tablas Guyanas y Santa Elena'!E133,'Tablas Resto de Ecuador'!E133)</f>
        <v>13419</v>
      </c>
      <c r="N136" s="186">
        <f>IF('INGRESO DE DATOS'!$W$19=1,'Tablas Guyanas y Santa Elena'!F133,'Tablas Resto de Ecuador'!F133)</f>
        <v>12644</v>
      </c>
      <c r="O136" s="186">
        <f>IF('INGRESO DE DATOS'!$W$19=1,'Tablas Guyanas y Santa Elena'!G133,'Tablas Resto de Ecuador'!G133)</f>
        <v>8447</v>
      </c>
      <c r="P136" s="186">
        <f>IF('INGRESO DE DATOS'!$W$19=1,'Tablas Guyanas y Santa Elena'!H133,'Tablas Resto de Ecuador'!H133)</f>
        <v>6934</v>
      </c>
      <c r="Q136" s="186">
        <f>IF('INGRESO DE DATOS'!$W$19=1,'Tablas Guyanas y Santa Elena'!I133,'Tablas Resto de Ecuador'!I133)</f>
        <v>5328</v>
      </c>
      <c r="S136" s="188">
        <f t="shared" si="50"/>
        <v>16775</v>
      </c>
      <c r="T136" s="188">
        <f t="shared" si="51"/>
        <v>14588</v>
      </c>
      <c r="U136" s="188">
        <f t="shared" si="52"/>
        <v>13419</v>
      </c>
      <c r="V136" s="188">
        <f t="shared" si="53"/>
        <v>12644</v>
      </c>
      <c r="W136" s="188">
        <f t="shared" si="54"/>
        <v>8447</v>
      </c>
      <c r="X136" s="188">
        <f t="shared" si="55"/>
        <v>6934</v>
      </c>
      <c r="Y136" s="188">
        <f t="shared" si="56"/>
        <v>5328</v>
      </c>
    </row>
    <row r="137" spans="1:25" ht="14" x14ac:dyDescent="0.2">
      <c r="A137" s="189">
        <v>71</v>
      </c>
      <c r="B137" s="187"/>
      <c r="C137" s="190">
        <f t="shared" si="43"/>
        <v>18476</v>
      </c>
      <c r="D137" s="190">
        <f t="shared" si="44"/>
        <v>16068</v>
      </c>
      <c r="E137" s="190">
        <f t="shared" si="45"/>
        <v>14907</v>
      </c>
      <c r="F137" s="190">
        <f t="shared" si="46"/>
        <v>13923</v>
      </c>
      <c r="G137" s="190">
        <f t="shared" si="47"/>
        <v>9305</v>
      </c>
      <c r="H137" s="190">
        <f t="shared" si="48"/>
        <v>7634</v>
      </c>
      <c r="I137" s="190">
        <f t="shared" si="49"/>
        <v>5665</v>
      </c>
      <c r="K137" s="186">
        <f>IF('INGRESO DE DATOS'!$W$19=1,'Tablas Guyanas y Santa Elena'!C134,'Tablas Resto de Ecuador'!C134)</f>
        <v>18476</v>
      </c>
      <c r="L137" s="186">
        <f>IF('INGRESO DE DATOS'!$W$19=1,'Tablas Guyanas y Santa Elena'!D134,'Tablas Resto de Ecuador'!D134)</f>
        <v>16068</v>
      </c>
      <c r="M137" s="186">
        <f>IF('INGRESO DE DATOS'!$W$19=1,'Tablas Guyanas y Santa Elena'!E134,'Tablas Resto de Ecuador'!E134)</f>
        <v>14907</v>
      </c>
      <c r="N137" s="186">
        <f>IF('INGRESO DE DATOS'!$W$19=1,'Tablas Guyanas y Santa Elena'!F134,'Tablas Resto de Ecuador'!F134)</f>
        <v>13923</v>
      </c>
      <c r="O137" s="186">
        <f>IF('INGRESO DE DATOS'!$W$19=1,'Tablas Guyanas y Santa Elena'!G134,'Tablas Resto de Ecuador'!G134)</f>
        <v>9305</v>
      </c>
      <c r="P137" s="186">
        <f>IF('INGRESO DE DATOS'!$W$19=1,'Tablas Guyanas y Santa Elena'!H134,'Tablas Resto de Ecuador'!H134)</f>
        <v>7634</v>
      </c>
      <c r="Q137" s="186">
        <f>IF('INGRESO DE DATOS'!$W$19=1,'Tablas Guyanas y Santa Elena'!I134,'Tablas Resto de Ecuador'!I134)</f>
        <v>5665</v>
      </c>
      <c r="S137" s="188">
        <f t="shared" si="50"/>
        <v>18476</v>
      </c>
      <c r="T137" s="188">
        <f t="shared" si="51"/>
        <v>16068</v>
      </c>
      <c r="U137" s="188">
        <f t="shared" si="52"/>
        <v>14907</v>
      </c>
      <c r="V137" s="188">
        <f t="shared" si="53"/>
        <v>13923</v>
      </c>
      <c r="W137" s="188">
        <f t="shared" si="54"/>
        <v>9305</v>
      </c>
      <c r="X137" s="188">
        <f t="shared" si="55"/>
        <v>7634</v>
      </c>
      <c r="Y137" s="188">
        <f t="shared" si="56"/>
        <v>5665</v>
      </c>
    </row>
    <row r="138" spans="1:25" ht="14" x14ac:dyDescent="0.2">
      <c r="A138" s="189">
        <v>72</v>
      </c>
      <c r="B138" s="187"/>
      <c r="C138" s="190">
        <f t="shared" si="43"/>
        <v>20438</v>
      </c>
      <c r="D138" s="190">
        <f t="shared" si="44"/>
        <v>17771</v>
      </c>
      <c r="E138" s="190">
        <f t="shared" si="45"/>
        <v>16493</v>
      </c>
      <c r="F138" s="190">
        <f t="shared" si="46"/>
        <v>15407</v>
      </c>
      <c r="G138" s="190">
        <f t="shared" si="47"/>
        <v>10299</v>
      </c>
      <c r="H138" s="190">
        <f t="shared" si="48"/>
        <v>8475</v>
      </c>
      <c r="I138" s="190">
        <f t="shared" si="49"/>
        <v>5952</v>
      </c>
      <c r="K138" s="186">
        <f>IF('INGRESO DE DATOS'!$W$19=1,'Tablas Guyanas y Santa Elena'!C135,'Tablas Resto de Ecuador'!C135)</f>
        <v>20438</v>
      </c>
      <c r="L138" s="186">
        <f>IF('INGRESO DE DATOS'!$W$19=1,'Tablas Guyanas y Santa Elena'!D135,'Tablas Resto de Ecuador'!D135)</f>
        <v>17771</v>
      </c>
      <c r="M138" s="186">
        <f>IF('INGRESO DE DATOS'!$W$19=1,'Tablas Guyanas y Santa Elena'!E135,'Tablas Resto de Ecuador'!E135)</f>
        <v>16493</v>
      </c>
      <c r="N138" s="186">
        <f>IF('INGRESO DE DATOS'!$W$19=1,'Tablas Guyanas y Santa Elena'!F135,'Tablas Resto de Ecuador'!F135)</f>
        <v>15407</v>
      </c>
      <c r="O138" s="186">
        <f>IF('INGRESO DE DATOS'!$W$19=1,'Tablas Guyanas y Santa Elena'!G135,'Tablas Resto de Ecuador'!G135)</f>
        <v>10299</v>
      </c>
      <c r="P138" s="186">
        <f>IF('INGRESO DE DATOS'!$W$19=1,'Tablas Guyanas y Santa Elena'!H135,'Tablas Resto de Ecuador'!H135)</f>
        <v>8475</v>
      </c>
      <c r="Q138" s="186">
        <f>IF('INGRESO DE DATOS'!$W$19=1,'Tablas Guyanas y Santa Elena'!I135,'Tablas Resto de Ecuador'!I135)</f>
        <v>5952</v>
      </c>
      <c r="S138" s="188">
        <f t="shared" si="50"/>
        <v>20438</v>
      </c>
      <c r="T138" s="188">
        <f t="shared" si="51"/>
        <v>17771</v>
      </c>
      <c r="U138" s="188">
        <f t="shared" si="52"/>
        <v>16493</v>
      </c>
      <c r="V138" s="188">
        <f t="shared" si="53"/>
        <v>15407</v>
      </c>
      <c r="W138" s="188">
        <f t="shared" si="54"/>
        <v>10299</v>
      </c>
      <c r="X138" s="188">
        <f t="shared" si="55"/>
        <v>8475</v>
      </c>
      <c r="Y138" s="188">
        <f t="shared" si="56"/>
        <v>5952</v>
      </c>
    </row>
    <row r="139" spans="1:25" ht="14" x14ac:dyDescent="0.2">
      <c r="A139" s="189">
        <v>73</v>
      </c>
      <c r="B139" s="187"/>
      <c r="C139" s="190">
        <f t="shared" si="43"/>
        <v>22700</v>
      </c>
      <c r="D139" s="190">
        <f t="shared" si="44"/>
        <v>19737</v>
      </c>
      <c r="E139" s="190">
        <f t="shared" si="45"/>
        <v>18313</v>
      </c>
      <c r="F139" s="190">
        <f t="shared" si="46"/>
        <v>17105</v>
      </c>
      <c r="G139" s="190">
        <f t="shared" si="47"/>
        <v>11429</v>
      </c>
      <c r="H139" s="190">
        <f t="shared" si="48"/>
        <v>9141</v>
      </c>
      <c r="I139" s="190">
        <f t="shared" si="49"/>
        <v>6271</v>
      </c>
      <c r="K139" s="186">
        <f>IF('INGRESO DE DATOS'!$W$19=1,'Tablas Guyanas y Santa Elena'!C136,'Tablas Resto de Ecuador'!C136)</f>
        <v>22700</v>
      </c>
      <c r="L139" s="186">
        <f>IF('INGRESO DE DATOS'!$W$19=1,'Tablas Guyanas y Santa Elena'!D136,'Tablas Resto de Ecuador'!D136)</f>
        <v>19737</v>
      </c>
      <c r="M139" s="186">
        <f>IF('INGRESO DE DATOS'!$W$19=1,'Tablas Guyanas y Santa Elena'!E136,'Tablas Resto de Ecuador'!E136)</f>
        <v>18313</v>
      </c>
      <c r="N139" s="186">
        <f>IF('INGRESO DE DATOS'!$W$19=1,'Tablas Guyanas y Santa Elena'!F136,'Tablas Resto de Ecuador'!F136)</f>
        <v>17105</v>
      </c>
      <c r="O139" s="186">
        <f>IF('INGRESO DE DATOS'!$W$19=1,'Tablas Guyanas y Santa Elena'!G136,'Tablas Resto de Ecuador'!G136)</f>
        <v>11429</v>
      </c>
      <c r="P139" s="186">
        <f>IF('INGRESO DE DATOS'!$W$19=1,'Tablas Guyanas y Santa Elena'!H136,'Tablas Resto de Ecuador'!H136)</f>
        <v>9141</v>
      </c>
      <c r="Q139" s="186">
        <f>IF('INGRESO DE DATOS'!$W$19=1,'Tablas Guyanas y Santa Elena'!I136,'Tablas Resto de Ecuador'!I136)</f>
        <v>6271</v>
      </c>
      <c r="S139" s="188">
        <f t="shared" si="50"/>
        <v>22700</v>
      </c>
      <c r="T139" s="188">
        <f t="shared" si="51"/>
        <v>19737</v>
      </c>
      <c r="U139" s="188">
        <f t="shared" si="52"/>
        <v>18313</v>
      </c>
      <c r="V139" s="188">
        <f t="shared" si="53"/>
        <v>17105</v>
      </c>
      <c r="W139" s="188">
        <f t="shared" si="54"/>
        <v>11429</v>
      </c>
      <c r="X139" s="188">
        <f t="shared" si="55"/>
        <v>9141</v>
      </c>
      <c r="Y139" s="188">
        <f t="shared" si="56"/>
        <v>6271</v>
      </c>
    </row>
    <row r="140" spans="1:25" ht="14" x14ac:dyDescent="0.2">
      <c r="A140" s="189">
        <v>74</v>
      </c>
      <c r="B140" s="187"/>
      <c r="C140" s="190">
        <f t="shared" si="43"/>
        <v>25308</v>
      </c>
      <c r="D140" s="190">
        <f t="shared" si="44"/>
        <v>22003</v>
      </c>
      <c r="E140" s="190">
        <f t="shared" si="45"/>
        <v>20418</v>
      </c>
      <c r="F140" s="190">
        <f t="shared" si="46"/>
        <v>19073</v>
      </c>
      <c r="G140" s="190">
        <f t="shared" si="47"/>
        <v>12748</v>
      </c>
      <c r="H140" s="190">
        <f t="shared" si="48"/>
        <v>9841</v>
      </c>
      <c r="I140" s="190">
        <f t="shared" si="49"/>
        <v>6526</v>
      </c>
      <c r="K140" s="186">
        <f>IF('INGRESO DE DATOS'!$W$19=1,'Tablas Guyanas y Santa Elena'!C137,'Tablas Resto de Ecuador'!C137)</f>
        <v>25308</v>
      </c>
      <c r="L140" s="186">
        <f>IF('INGRESO DE DATOS'!$W$19=1,'Tablas Guyanas y Santa Elena'!D137,'Tablas Resto de Ecuador'!D137)</f>
        <v>22003</v>
      </c>
      <c r="M140" s="186">
        <f>IF('INGRESO DE DATOS'!$W$19=1,'Tablas Guyanas y Santa Elena'!E137,'Tablas Resto de Ecuador'!E137)</f>
        <v>20418</v>
      </c>
      <c r="N140" s="186">
        <f>IF('INGRESO DE DATOS'!$W$19=1,'Tablas Guyanas y Santa Elena'!F137,'Tablas Resto de Ecuador'!F137)</f>
        <v>19073</v>
      </c>
      <c r="O140" s="186">
        <f>IF('INGRESO DE DATOS'!$W$19=1,'Tablas Guyanas y Santa Elena'!G137,'Tablas Resto de Ecuador'!G137)</f>
        <v>12748</v>
      </c>
      <c r="P140" s="186">
        <f>IF('INGRESO DE DATOS'!$W$19=1,'Tablas Guyanas y Santa Elena'!H137,'Tablas Resto de Ecuador'!H137)</f>
        <v>9841</v>
      </c>
      <c r="Q140" s="186">
        <f>IF('INGRESO DE DATOS'!$W$19=1,'Tablas Guyanas y Santa Elena'!I137,'Tablas Resto de Ecuador'!I137)</f>
        <v>6526</v>
      </c>
      <c r="S140" s="188">
        <f t="shared" si="50"/>
        <v>25308</v>
      </c>
      <c r="T140" s="188">
        <f t="shared" si="51"/>
        <v>22003</v>
      </c>
      <c r="U140" s="188">
        <f t="shared" si="52"/>
        <v>20418</v>
      </c>
      <c r="V140" s="188">
        <f t="shared" si="53"/>
        <v>19073</v>
      </c>
      <c r="W140" s="188">
        <f t="shared" si="54"/>
        <v>12748</v>
      </c>
      <c r="X140" s="188">
        <f t="shared" si="55"/>
        <v>9841</v>
      </c>
      <c r="Y140" s="188">
        <f t="shared" si="56"/>
        <v>6526</v>
      </c>
    </row>
    <row r="141" spans="1:25" ht="14" x14ac:dyDescent="0.2">
      <c r="A141" s="189">
        <v>75</v>
      </c>
      <c r="B141" s="187"/>
      <c r="C141" s="190">
        <f t="shared" si="43"/>
        <v>27215</v>
      </c>
      <c r="D141" s="190">
        <f t="shared" si="44"/>
        <v>24606</v>
      </c>
      <c r="E141" s="190">
        <f t="shared" si="45"/>
        <v>22740</v>
      </c>
      <c r="F141" s="190">
        <f t="shared" si="46"/>
        <v>21461</v>
      </c>
      <c r="G141" s="190">
        <f t="shared" si="47"/>
        <v>14303</v>
      </c>
      <c r="H141" s="190">
        <f t="shared" si="48"/>
        <v>10582</v>
      </c>
      <c r="I141" s="190">
        <f t="shared" si="49"/>
        <v>6798</v>
      </c>
      <c r="K141" s="186">
        <f>IF('INGRESO DE DATOS'!$W$19=1,'Tablas Guyanas y Santa Elena'!C138,'Tablas Resto de Ecuador'!C138)</f>
        <v>27215</v>
      </c>
      <c r="L141" s="186">
        <f>IF('INGRESO DE DATOS'!$W$19=1,'Tablas Guyanas y Santa Elena'!D138,'Tablas Resto de Ecuador'!D138)</f>
        <v>24606</v>
      </c>
      <c r="M141" s="186">
        <f>IF('INGRESO DE DATOS'!$W$19=1,'Tablas Guyanas y Santa Elena'!E138,'Tablas Resto de Ecuador'!E138)</f>
        <v>22740</v>
      </c>
      <c r="N141" s="186">
        <f>IF('INGRESO DE DATOS'!$W$19=1,'Tablas Guyanas y Santa Elena'!F138,'Tablas Resto de Ecuador'!F138)</f>
        <v>21461</v>
      </c>
      <c r="O141" s="186">
        <f>IF('INGRESO DE DATOS'!$W$19=1,'Tablas Guyanas y Santa Elena'!G138,'Tablas Resto de Ecuador'!G138)</f>
        <v>14303</v>
      </c>
      <c r="P141" s="186">
        <f>IF('INGRESO DE DATOS'!$W$19=1,'Tablas Guyanas y Santa Elena'!H138,'Tablas Resto de Ecuador'!H138)</f>
        <v>10582</v>
      </c>
      <c r="Q141" s="186">
        <f>IF('INGRESO DE DATOS'!$W$19=1,'Tablas Guyanas y Santa Elena'!I138,'Tablas Resto de Ecuador'!I138)</f>
        <v>6798</v>
      </c>
      <c r="S141" s="188">
        <f t="shared" si="50"/>
        <v>27215</v>
      </c>
      <c r="T141" s="188">
        <f t="shared" si="51"/>
        <v>24606</v>
      </c>
      <c r="U141" s="188">
        <f t="shared" si="52"/>
        <v>22740</v>
      </c>
      <c r="V141" s="188">
        <f t="shared" si="53"/>
        <v>21461</v>
      </c>
      <c r="W141" s="188">
        <f t="shared" si="54"/>
        <v>14303</v>
      </c>
      <c r="X141" s="188">
        <f t="shared" si="55"/>
        <v>10582</v>
      </c>
      <c r="Y141" s="188">
        <f t="shared" si="56"/>
        <v>6798</v>
      </c>
    </row>
    <row r="142" spans="1:25" ht="14" x14ac:dyDescent="0.2">
      <c r="A142" s="189">
        <v>76</v>
      </c>
      <c r="B142" s="187"/>
      <c r="C142" s="190">
        <f t="shared" si="43"/>
        <v>28316</v>
      </c>
      <c r="D142" s="190">
        <f t="shared" si="44"/>
        <v>27413</v>
      </c>
      <c r="E142" s="190">
        <f t="shared" si="45"/>
        <v>25585</v>
      </c>
      <c r="F142" s="190">
        <f t="shared" si="46"/>
        <v>22868</v>
      </c>
      <c r="G142" s="190">
        <f t="shared" si="47"/>
        <v>16038</v>
      </c>
      <c r="H142" s="190">
        <f t="shared" si="48"/>
        <v>11263</v>
      </c>
      <c r="I142" s="190">
        <f t="shared" si="49"/>
        <v>7089</v>
      </c>
      <c r="K142" s="186">
        <f>IF('INGRESO DE DATOS'!$W$19=1,'Tablas Guyanas y Santa Elena'!C139,'Tablas Resto de Ecuador'!C139)</f>
        <v>28316</v>
      </c>
      <c r="L142" s="186">
        <f>IF('INGRESO DE DATOS'!$W$19=1,'Tablas Guyanas y Santa Elena'!D139,'Tablas Resto de Ecuador'!D139)</f>
        <v>27413</v>
      </c>
      <c r="M142" s="186">
        <f>IF('INGRESO DE DATOS'!$W$19=1,'Tablas Guyanas y Santa Elena'!E139,'Tablas Resto de Ecuador'!E139)</f>
        <v>25585</v>
      </c>
      <c r="N142" s="186">
        <f>IF('INGRESO DE DATOS'!$W$19=1,'Tablas Guyanas y Santa Elena'!F139,'Tablas Resto de Ecuador'!F139)</f>
        <v>22868</v>
      </c>
      <c r="O142" s="186">
        <f>IF('INGRESO DE DATOS'!$W$19=1,'Tablas Guyanas y Santa Elena'!G139,'Tablas Resto de Ecuador'!G139)</f>
        <v>16038</v>
      </c>
      <c r="P142" s="186">
        <f>IF('INGRESO DE DATOS'!$W$19=1,'Tablas Guyanas y Santa Elena'!H139,'Tablas Resto de Ecuador'!H139)</f>
        <v>11263</v>
      </c>
      <c r="Q142" s="186">
        <f>IF('INGRESO DE DATOS'!$W$19=1,'Tablas Guyanas y Santa Elena'!I139,'Tablas Resto de Ecuador'!I139)</f>
        <v>7089</v>
      </c>
      <c r="S142" s="188">
        <f t="shared" si="50"/>
        <v>28316</v>
      </c>
      <c r="T142" s="188">
        <f t="shared" si="51"/>
        <v>27413</v>
      </c>
      <c r="U142" s="188">
        <f t="shared" si="52"/>
        <v>25585</v>
      </c>
      <c r="V142" s="188">
        <f t="shared" si="53"/>
        <v>22868</v>
      </c>
      <c r="W142" s="188">
        <f t="shared" si="54"/>
        <v>16038</v>
      </c>
      <c r="X142" s="188">
        <f t="shared" si="55"/>
        <v>11263</v>
      </c>
      <c r="Y142" s="188">
        <f t="shared" si="56"/>
        <v>7089</v>
      </c>
    </row>
    <row r="143" spans="1:25" ht="14" x14ac:dyDescent="0.2">
      <c r="A143" s="189">
        <v>77</v>
      </c>
      <c r="B143" s="187"/>
      <c r="C143" s="190">
        <f t="shared" si="43"/>
        <v>29458</v>
      </c>
      <c r="D143" s="190">
        <f t="shared" si="44"/>
        <v>28579</v>
      </c>
      <c r="E143" s="190">
        <f t="shared" si="45"/>
        <v>26928</v>
      </c>
      <c r="F143" s="190">
        <f t="shared" si="46"/>
        <v>23964</v>
      </c>
      <c r="G143" s="190">
        <f t="shared" si="47"/>
        <v>17729</v>
      </c>
      <c r="H143" s="190">
        <f t="shared" si="48"/>
        <v>11895</v>
      </c>
      <c r="I143" s="190">
        <f t="shared" si="49"/>
        <v>7399</v>
      </c>
      <c r="K143" s="186">
        <f>IF('INGRESO DE DATOS'!$W$19=1,'Tablas Guyanas y Santa Elena'!C140,'Tablas Resto de Ecuador'!C140)</f>
        <v>29458</v>
      </c>
      <c r="L143" s="186">
        <f>IF('INGRESO DE DATOS'!$W$19=1,'Tablas Guyanas y Santa Elena'!D140,'Tablas Resto de Ecuador'!D140)</f>
        <v>28579</v>
      </c>
      <c r="M143" s="186">
        <f>IF('INGRESO DE DATOS'!$W$19=1,'Tablas Guyanas y Santa Elena'!E140,'Tablas Resto de Ecuador'!E140)</f>
        <v>26928</v>
      </c>
      <c r="N143" s="186">
        <f>IF('INGRESO DE DATOS'!$W$19=1,'Tablas Guyanas y Santa Elena'!F140,'Tablas Resto de Ecuador'!F140)</f>
        <v>23964</v>
      </c>
      <c r="O143" s="186">
        <f>IF('INGRESO DE DATOS'!$W$19=1,'Tablas Guyanas y Santa Elena'!G140,'Tablas Resto de Ecuador'!G140)</f>
        <v>17729</v>
      </c>
      <c r="P143" s="186">
        <f>IF('INGRESO DE DATOS'!$W$19=1,'Tablas Guyanas y Santa Elena'!H140,'Tablas Resto de Ecuador'!H140)</f>
        <v>11895</v>
      </c>
      <c r="Q143" s="186">
        <f>IF('INGRESO DE DATOS'!$W$19=1,'Tablas Guyanas y Santa Elena'!I140,'Tablas Resto de Ecuador'!I140)</f>
        <v>7399</v>
      </c>
      <c r="S143" s="188">
        <f t="shared" si="50"/>
        <v>29458</v>
      </c>
      <c r="T143" s="188">
        <f t="shared" si="51"/>
        <v>28579</v>
      </c>
      <c r="U143" s="188">
        <f t="shared" si="52"/>
        <v>26928</v>
      </c>
      <c r="V143" s="188">
        <f t="shared" si="53"/>
        <v>23964</v>
      </c>
      <c r="W143" s="188">
        <f t="shared" si="54"/>
        <v>17729</v>
      </c>
      <c r="X143" s="188">
        <f t="shared" si="55"/>
        <v>11895</v>
      </c>
      <c r="Y143" s="188">
        <f t="shared" si="56"/>
        <v>7399</v>
      </c>
    </row>
    <row r="144" spans="1:25" ht="14" x14ac:dyDescent="0.2">
      <c r="A144" s="189">
        <v>78</v>
      </c>
      <c r="B144" s="187"/>
      <c r="C144" s="190">
        <f t="shared" si="43"/>
        <v>30640</v>
      </c>
      <c r="D144" s="190">
        <f t="shared" si="44"/>
        <v>29787</v>
      </c>
      <c r="E144" s="190">
        <f t="shared" si="45"/>
        <v>28121</v>
      </c>
      <c r="F144" s="190">
        <f t="shared" si="46"/>
        <v>25099</v>
      </c>
      <c r="G144" s="190">
        <f t="shared" si="47"/>
        <v>18703</v>
      </c>
      <c r="H144" s="190">
        <f t="shared" si="48"/>
        <v>12560</v>
      </c>
      <c r="I144" s="190">
        <f t="shared" si="49"/>
        <v>7727</v>
      </c>
      <c r="K144" s="186">
        <f>IF('INGRESO DE DATOS'!$W$19=1,'Tablas Guyanas y Santa Elena'!C141,'Tablas Resto de Ecuador'!C141)</f>
        <v>30640</v>
      </c>
      <c r="L144" s="186">
        <f>IF('INGRESO DE DATOS'!$W$19=1,'Tablas Guyanas y Santa Elena'!D141,'Tablas Resto de Ecuador'!D141)</f>
        <v>29787</v>
      </c>
      <c r="M144" s="186">
        <f>IF('INGRESO DE DATOS'!$W$19=1,'Tablas Guyanas y Santa Elena'!E141,'Tablas Resto de Ecuador'!E141)</f>
        <v>28121</v>
      </c>
      <c r="N144" s="186">
        <f>IF('INGRESO DE DATOS'!$W$19=1,'Tablas Guyanas y Santa Elena'!F141,'Tablas Resto de Ecuador'!F141)</f>
        <v>25099</v>
      </c>
      <c r="O144" s="186">
        <f>IF('INGRESO DE DATOS'!$W$19=1,'Tablas Guyanas y Santa Elena'!G141,'Tablas Resto de Ecuador'!G141)</f>
        <v>18703</v>
      </c>
      <c r="P144" s="186">
        <f>IF('INGRESO DE DATOS'!$W$19=1,'Tablas Guyanas y Santa Elena'!H141,'Tablas Resto de Ecuador'!H141)</f>
        <v>12560</v>
      </c>
      <c r="Q144" s="186">
        <f>IF('INGRESO DE DATOS'!$W$19=1,'Tablas Guyanas y Santa Elena'!I141,'Tablas Resto de Ecuador'!I141)</f>
        <v>7727</v>
      </c>
      <c r="S144" s="188">
        <f t="shared" si="50"/>
        <v>30640</v>
      </c>
      <c r="T144" s="188">
        <f t="shared" si="51"/>
        <v>29787</v>
      </c>
      <c r="U144" s="188">
        <f t="shared" si="52"/>
        <v>28121</v>
      </c>
      <c r="V144" s="188">
        <f t="shared" si="53"/>
        <v>25099</v>
      </c>
      <c r="W144" s="188">
        <f t="shared" si="54"/>
        <v>18703</v>
      </c>
      <c r="X144" s="188">
        <f t="shared" si="55"/>
        <v>12560</v>
      </c>
      <c r="Y144" s="188">
        <f t="shared" si="56"/>
        <v>7727</v>
      </c>
    </row>
    <row r="145" spans="1:25" ht="14" x14ac:dyDescent="0.2">
      <c r="A145" s="189">
        <v>79</v>
      </c>
      <c r="B145" s="187"/>
      <c r="C145" s="190">
        <f t="shared" si="43"/>
        <v>31863</v>
      </c>
      <c r="D145" s="190">
        <f t="shared" si="44"/>
        <v>31038</v>
      </c>
      <c r="E145" s="190">
        <f t="shared" si="45"/>
        <v>29356</v>
      </c>
      <c r="F145" s="190">
        <f t="shared" si="46"/>
        <v>26276</v>
      </c>
      <c r="G145" s="190">
        <f t="shared" si="47"/>
        <v>19717</v>
      </c>
      <c r="H145" s="190">
        <f t="shared" si="48"/>
        <v>13258</v>
      </c>
      <c r="I145" s="190">
        <f t="shared" si="49"/>
        <v>8074</v>
      </c>
      <c r="K145" s="186">
        <f>IF('INGRESO DE DATOS'!$W$19=1,'Tablas Guyanas y Santa Elena'!C142,'Tablas Resto de Ecuador'!C142)</f>
        <v>31863</v>
      </c>
      <c r="L145" s="186">
        <f>IF('INGRESO DE DATOS'!$W$19=1,'Tablas Guyanas y Santa Elena'!D142,'Tablas Resto de Ecuador'!D142)</f>
        <v>31038</v>
      </c>
      <c r="M145" s="186">
        <f>IF('INGRESO DE DATOS'!$W$19=1,'Tablas Guyanas y Santa Elena'!E142,'Tablas Resto de Ecuador'!E142)</f>
        <v>29356</v>
      </c>
      <c r="N145" s="186">
        <f>IF('INGRESO DE DATOS'!$W$19=1,'Tablas Guyanas y Santa Elena'!F142,'Tablas Resto de Ecuador'!F142)</f>
        <v>26276</v>
      </c>
      <c r="O145" s="186">
        <f>IF('INGRESO DE DATOS'!$W$19=1,'Tablas Guyanas y Santa Elena'!G142,'Tablas Resto de Ecuador'!G142)</f>
        <v>19717</v>
      </c>
      <c r="P145" s="186">
        <f>IF('INGRESO DE DATOS'!$W$19=1,'Tablas Guyanas y Santa Elena'!H142,'Tablas Resto de Ecuador'!H142)</f>
        <v>13258</v>
      </c>
      <c r="Q145" s="186">
        <f>IF('INGRESO DE DATOS'!$W$19=1,'Tablas Guyanas y Santa Elena'!I142,'Tablas Resto de Ecuador'!I142)</f>
        <v>8074</v>
      </c>
      <c r="S145" s="188">
        <f t="shared" si="50"/>
        <v>31863</v>
      </c>
      <c r="T145" s="188">
        <f t="shared" si="51"/>
        <v>31038</v>
      </c>
      <c r="U145" s="188">
        <f t="shared" si="52"/>
        <v>29356</v>
      </c>
      <c r="V145" s="188">
        <f t="shared" si="53"/>
        <v>26276</v>
      </c>
      <c r="W145" s="188">
        <f t="shared" si="54"/>
        <v>19717</v>
      </c>
      <c r="X145" s="188">
        <f t="shared" si="55"/>
        <v>13258</v>
      </c>
      <c r="Y145" s="188">
        <f t="shared" si="56"/>
        <v>8074</v>
      </c>
    </row>
    <row r="146" spans="1:25" ht="14" x14ac:dyDescent="0.2">
      <c r="A146" s="189">
        <v>80</v>
      </c>
      <c r="B146" s="187"/>
      <c r="C146" s="190">
        <f t="shared" si="43"/>
        <v>33128</v>
      </c>
      <c r="D146" s="190">
        <f t="shared" si="44"/>
        <v>32333</v>
      </c>
      <c r="E146" s="190">
        <f t="shared" si="45"/>
        <v>30632</v>
      </c>
      <c r="F146" s="190">
        <f t="shared" si="46"/>
        <v>27494</v>
      </c>
      <c r="G146" s="190">
        <f t="shared" si="47"/>
        <v>20772</v>
      </c>
      <c r="H146" s="190">
        <f t="shared" si="48"/>
        <v>13988</v>
      </c>
      <c r="I146" s="190">
        <f t="shared" si="49"/>
        <v>8441</v>
      </c>
      <c r="K146" s="186">
        <f>IF('INGRESO DE DATOS'!$W$19=1,'Tablas Guyanas y Santa Elena'!C143,'Tablas Resto de Ecuador'!C143)</f>
        <v>33128</v>
      </c>
      <c r="L146" s="186">
        <f>IF('INGRESO DE DATOS'!$W$19=1,'Tablas Guyanas y Santa Elena'!D143,'Tablas Resto de Ecuador'!D143)</f>
        <v>32333</v>
      </c>
      <c r="M146" s="186">
        <f>IF('INGRESO DE DATOS'!$W$19=1,'Tablas Guyanas y Santa Elena'!E143,'Tablas Resto de Ecuador'!E143)</f>
        <v>30632</v>
      </c>
      <c r="N146" s="186">
        <f>IF('INGRESO DE DATOS'!$W$19=1,'Tablas Guyanas y Santa Elena'!F143,'Tablas Resto de Ecuador'!F143)</f>
        <v>27494</v>
      </c>
      <c r="O146" s="186">
        <f>IF('INGRESO DE DATOS'!$W$19=1,'Tablas Guyanas y Santa Elena'!G143,'Tablas Resto de Ecuador'!G143)</f>
        <v>20772</v>
      </c>
      <c r="P146" s="186">
        <f>IF('INGRESO DE DATOS'!$W$19=1,'Tablas Guyanas y Santa Elena'!H143,'Tablas Resto de Ecuador'!H143)</f>
        <v>13988</v>
      </c>
      <c r="Q146" s="186">
        <f>IF('INGRESO DE DATOS'!$W$19=1,'Tablas Guyanas y Santa Elena'!I143,'Tablas Resto de Ecuador'!I143)</f>
        <v>8441</v>
      </c>
      <c r="S146" s="188">
        <f t="shared" si="50"/>
        <v>33128</v>
      </c>
      <c r="T146" s="188">
        <f t="shared" si="51"/>
        <v>32333</v>
      </c>
      <c r="U146" s="188">
        <f t="shared" si="52"/>
        <v>30632</v>
      </c>
      <c r="V146" s="188">
        <f t="shared" si="53"/>
        <v>27494</v>
      </c>
      <c r="W146" s="188">
        <f t="shared" si="54"/>
        <v>20772</v>
      </c>
      <c r="X146" s="188">
        <f t="shared" si="55"/>
        <v>13988</v>
      </c>
      <c r="Y146" s="188">
        <f t="shared" si="56"/>
        <v>8441</v>
      </c>
    </row>
    <row r="147" spans="1:25" ht="14" x14ac:dyDescent="0.2">
      <c r="A147" s="189">
        <v>81</v>
      </c>
      <c r="B147" s="187"/>
      <c r="C147" s="190">
        <f t="shared" si="43"/>
        <v>33128</v>
      </c>
      <c r="D147" s="190">
        <f t="shared" si="44"/>
        <v>32333</v>
      </c>
      <c r="E147" s="190">
        <f t="shared" si="45"/>
        <v>30632</v>
      </c>
      <c r="F147" s="190">
        <f t="shared" si="46"/>
        <v>27494</v>
      </c>
      <c r="G147" s="190">
        <f t="shared" si="47"/>
        <v>20772</v>
      </c>
      <c r="H147" s="190">
        <f t="shared" si="48"/>
        <v>13988</v>
      </c>
      <c r="I147" s="190">
        <f t="shared" si="49"/>
        <v>8441</v>
      </c>
      <c r="K147" s="186">
        <f>IF('INGRESO DE DATOS'!$W$19=1,'Tablas Guyanas y Santa Elena'!C144,'Tablas Resto de Ecuador'!C144)</f>
        <v>33128</v>
      </c>
      <c r="L147" s="186">
        <f>IF('INGRESO DE DATOS'!$W$19=1,'Tablas Guyanas y Santa Elena'!D144,'Tablas Resto de Ecuador'!D144)</f>
        <v>32333</v>
      </c>
      <c r="M147" s="186">
        <f>IF('INGRESO DE DATOS'!$W$19=1,'Tablas Guyanas y Santa Elena'!E144,'Tablas Resto de Ecuador'!E144)</f>
        <v>30632</v>
      </c>
      <c r="N147" s="186">
        <f>IF('INGRESO DE DATOS'!$W$19=1,'Tablas Guyanas y Santa Elena'!F144,'Tablas Resto de Ecuador'!F144)</f>
        <v>27494</v>
      </c>
      <c r="O147" s="186">
        <f>IF('INGRESO DE DATOS'!$W$19=1,'Tablas Guyanas y Santa Elena'!G144,'Tablas Resto de Ecuador'!G144)</f>
        <v>20772</v>
      </c>
      <c r="P147" s="186">
        <f>IF('INGRESO DE DATOS'!$W$19=1,'Tablas Guyanas y Santa Elena'!H144,'Tablas Resto de Ecuador'!H144)</f>
        <v>13988</v>
      </c>
      <c r="Q147" s="186">
        <f>IF('INGRESO DE DATOS'!$W$19=1,'Tablas Guyanas y Santa Elena'!I144,'Tablas Resto de Ecuador'!I144)</f>
        <v>8441</v>
      </c>
      <c r="S147" s="188">
        <f t="shared" si="50"/>
        <v>33128</v>
      </c>
      <c r="T147" s="188">
        <f t="shared" si="51"/>
        <v>32333</v>
      </c>
      <c r="U147" s="188">
        <f t="shared" si="52"/>
        <v>30632</v>
      </c>
      <c r="V147" s="188">
        <f t="shared" si="53"/>
        <v>27494</v>
      </c>
      <c r="W147" s="188">
        <f t="shared" si="54"/>
        <v>20772</v>
      </c>
      <c r="X147" s="188">
        <f t="shared" si="55"/>
        <v>13988</v>
      </c>
      <c r="Y147" s="188">
        <f t="shared" si="56"/>
        <v>8441</v>
      </c>
    </row>
    <row r="148" spans="1:25" ht="14" x14ac:dyDescent="0.2">
      <c r="A148" s="189">
        <v>82</v>
      </c>
      <c r="B148" s="187"/>
      <c r="C148" s="190">
        <f t="shared" si="43"/>
        <v>33128</v>
      </c>
      <c r="D148" s="190">
        <f t="shared" si="44"/>
        <v>32333</v>
      </c>
      <c r="E148" s="190">
        <f t="shared" si="45"/>
        <v>30632</v>
      </c>
      <c r="F148" s="190">
        <f t="shared" si="46"/>
        <v>27494</v>
      </c>
      <c r="G148" s="190">
        <f t="shared" si="47"/>
        <v>20772</v>
      </c>
      <c r="H148" s="190">
        <f t="shared" si="48"/>
        <v>13988</v>
      </c>
      <c r="I148" s="190">
        <f t="shared" si="49"/>
        <v>8441</v>
      </c>
      <c r="K148" s="186">
        <f>IF('INGRESO DE DATOS'!$W$19=1,'Tablas Guyanas y Santa Elena'!C145,'Tablas Resto de Ecuador'!C145)</f>
        <v>33128</v>
      </c>
      <c r="L148" s="186">
        <f>IF('INGRESO DE DATOS'!$W$19=1,'Tablas Guyanas y Santa Elena'!D145,'Tablas Resto de Ecuador'!D145)</f>
        <v>32333</v>
      </c>
      <c r="M148" s="186">
        <f>IF('INGRESO DE DATOS'!$W$19=1,'Tablas Guyanas y Santa Elena'!E145,'Tablas Resto de Ecuador'!E145)</f>
        <v>30632</v>
      </c>
      <c r="N148" s="186">
        <f>IF('INGRESO DE DATOS'!$W$19=1,'Tablas Guyanas y Santa Elena'!F145,'Tablas Resto de Ecuador'!F145)</f>
        <v>27494</v>
      </c>
      <c r="O148" s="186">
        <f>IF('INGRESO DE DATOS'!$W$19=1,'Tablas Guyanas y Santa Elena'!G145,'Tablas Resto de Ecuador'!G145)</f>
        <v>20772</v>
      </c>
      <c r="P148" s="186">
        <f>IF('INGRESO DE DATOS'!$W$19=1,'Tablas Guyanas y Santa Elena'!H145,'Tablas Resto de Ecuador'!H145)</f>
        <v>13988</v>
      </c>
      <c r="Q148" s="186">
        <f>IF('INGRESO DE DATOS'!$W$19=1,'Tablas Guyanas y Santa Elena'!I145,'Tablas Resto de Ecuador'!I145)</f>
        <v>8441</v>
      </c>
      <c r="S148" s="188">
        <f t="shared" si="50"/>
        <v>33128</v>
      </c>
      <c r="T148" s="188">
        <f t="shared" si="51"/>
        <v>32333</v>
      </c>
      <c r="U148" s="188">
        <f t="shared" si="52"/>
        <v>30632</v>
      </c>
      <c r="V148" s="188">
        <f t="shared" si="53"/>
        <v>27494</v>
      </c>
      <c r="W148" s="188">
        <f t="shared" si="54"/>
        <v>20772</v>
      </c>
      <c r="X148" s="188">
        <f t="shared" si="55"/>
        <v>13988</v>
      </c>
      <c r="Y148" s="188">
        <f t="shared" si="56"/>
        <v>8441</v>
      </c>
    </row>
    <row r="149" spans="1:25" ht="14" x14ac:dyDescent="0.2">
      <c r="A149" s="189">
        <v>83</v>
      </c>
      <c r="B149" s="187"/>
      <c r="C149" s="190">
        <f t="shared" ref="C149:C153" si="57">S149*$AD$2</f>
        <v>33128</v>
      </c>
      <c r="D149" s="190">
        <f t="shared" ref="D149:D153" si="58">T149*$AD$2</f>
        <v>32333</v>
      </c>
      <c r="E149" s="190">
        <f t="shared" ref="E149:E153" si="59">U149*$AD$2</f>
        <v>30632</v>
      </c>
      <c r="F149" s="190">
        <f t="shared" ref="F149:F153" si="60">V149*$AD$2</f>
        <v>27494</v>
      </c>
      <c r="G149" s="190">
        <f t="shared" ref="G149:G153" si="61">W149*$AD$2</f>
        <v>20772</v>
      </c>
      <c r="H149" s="190">
        <f t="shared" ref="H149:H153" si="62">X149*$AD$2</f>
        <v>13988</v>
      </c>
      <c r="I149" s="190">
        <f t="shared" ref="I149:I153" si="63">Y149*$AD$2</f>
        <v>8441</v>
      </c>
      <c r="K149" s="186">
        <f>IF('INGRESO DE DATOS'!$W$19=1,'Tablas Guyanas y Santa Elena'!C146,'Tablas Resto de Ecuador'!C146)</f>
        <v>33128</v>
      </c>
      <c r="L149" s="186">
        <f>IF('INGRESO DE DATOS'!$W$19=1,'Tablas Guyanas y Santa Elena'!D146,'Tablas Resto de Ecuador'!D146)</f>
        <v>32333</v>
      </c>
      <c r="M149" s="186">
        <f>IF('INGRESO DE DATOS'!$W$19=1,'Tablas Guyanas y Santa Elena'!E146,'Tablas Resto de Ecuador'!E146)</f>
        <v>30632</v>
      </c>
      <c r="N149" s="186">
        <f>IF('INGRESO DE DATOS'!$W$19=1,'Tablas Guyanas y Santa Elena'!F146,'Tablas Resto de Ecuador'!F146)</f>
        <v>27494</v>
      </c>
      <c r="O149" s="186">
        <f>IF('INGRESO DE DATOS'!$W$19=1,'Tablas Guyanas y Santa Elena'!G146,'Tablas Resto de Ecuador'!G146)</f>
        <v>20772</v>
      </c>
      <c r="P149" s="186">
        <f>IF('INGRESO DE DATOS'!$W$19=1,'Tablas Guyanas y Santa Elena'!H146,'Tablas Resto de Ecuador'!H146)</f>
        <v>13988</v>
      </c>
      <c r="Q149" s="186">
        <f>IF('INGRESO DE DATOS'!$W$19=1,'Tablas Guyanas y Santa Elena'!I146,'Tablas Resto de Ecuador'!I146)</f>
        <v>8441</v>
      </c>
      <c r="S149" s="188">
        <f t="shared" ref="S149:S153" si="64">K149*$U$4</f>
        <v>33128</v>
      </c>
      <c r="T149" s="188">
        <f t="shared" ref="T149:T153" si="65">L149*$U$4</f>
        <v>32333</v>
      </c>
      <c r="U149" s="188">
        <f t="shared" ref="U149:U153" si="66">M149*$U$4</f>
        <v>30632</v>
      </c>
      <c r="V149" s="188">
        <f t="shared" ref="V149:V153" si="67">N149*$U$4</f>
        <v>27494</v>
      </c>
      <c r="W149" s="188">
        <f t="shared" ref="W149:W153" si="68">O149*$U$4</f>
        <v>20772</v>
      </c>
      <c r="X149" s="188">
        <f t="shared" ref="X149:X153" si="69">P149*$U$4</f>
        <v>13988</v>
      </c>
      <c r="Y149" s="188">
        <f t="shared" ref="Y149:Y153" si="70">Q149*$U$4</f>
        <v>8441</v>
      </c>
    </row>
    <row r="150" spans="1:25" s="54" customFormat="1" ht="14" x14ac:dyDescent="0.2">
      <c r="A150" s="189">
        <v>84</v>
      </c>
      <c r="B150" s="187" t="s">
        <v>134</v>
      </c>
      <c r="C150" s="190">
        <f t="shared" si="57"/>
        <v>33128</v>
      </c>
      <c r="D150" s="190">
        <f t="shared" si="58"/>
        <v>32333</v>
      </c>
      <c r="E150" s="190">
        <f t="shared" si="59"/>
        <v>30632</v>
      </c>
      <c r="F150" s="190">
        <f t="shared" si="60"/>
        <v>27494</v>
      </c>
      <c r="G150" s="190">
        <f t="shared" si="61"/>
        <v>20772</v>
      </c>
      <c r="H150" s="190">
        <f t="shared" si="62"/>
        <v>13988</v>
      </c>
      <c r="I150" s="190">
        <f t="shared" si="63"/>
        <v>8441</v>
      </c>
      <c r="K150" s="186">
        <f>IF('INGRESO DE DATOS'!$W$19=1,'Tablas Guyanas y Santa Elena'!C147,'Tablas Resto de Ecuador'!C147)</f>
        <v>33128</v>
      </c>
      <c r="L150" s="186">
        <f>IF('INGRESO DE DATOS'!$W$19=1,'Tablas Guyanas y Santa Elena'!D147,'Tablas Resto de Ecuador'!D147)</f>
        <v>32333</v>
      </c>
      <c r="M150" s="186">
        <f>IF('INGRESO DE DATOS'!$W$19=1,'Tablas Guyanas y Santa Elena'!E147,'Tablas Resto de Ecuador'!E147)</f>
        <v>30632</v>
      </c>
      <c r="N150" s="186">
        <f>IF('INGRESO DE DATOS'!$W$19=1,'Tablas Guyanas y Santa Elena'!F147,'Tablas Resto de Ecuador'!F147)</f>
        <v>27494</v>
      </c>
      <c r="O150" s="186">
        <f>IF('INGRESO DE DATOS'!$W$19=1,'Tablas Guyanas y Santa Elena'!G147,'Tablas Resto de Ecuador'!G147)</f>
        <v>20772</v>
      </c>
      <c r="P150" s="186">
        <f>IF('INGRESO DE DATOS'!$W$19=1,'Tablas Guyanas y Santa Elena'!H147,'Tablas Resto de Ecuador'!H147)</f>
        <v>13988</v>
      </c>
      <c r="Q150" s="186">
        <f>IF('INGRESO DE DATOS'!$W$19=1,'Tablas Guyanas y Santa Elena'!I147,'Tablas Resto de Ecuador'!I147)</f>
        <v>8441</v>
      </c>
      <c r="R150" s="52"/>
      <c r="S150" s="188">
        <f t="shared" si="64"/>
        <v>33128</v>
      </c>
      <c r="T150" s="188">
        <f t="shared" si="65"/>
        <v>32333</v>
      </c>
      <c r="U150" s="188">
        <f t="shared" si="66"/>
        <v>30632</v>
      </c>
      <c r="V150" s="188">
        <f t="shared" si="67"/>
        <v>27494</v>
      </c>
      <c r="W150" s="188">
        <f t="shared" si="68"/>
        <v>20772</v>
      </c>
      <c r="X150" s="188">
        <f t="shared" si="69"/>
        <v>13988</v>
      </c>
      <c r="Y150" s="188">
        <f t="shared" si="70"/>
        <v>8441</v>
      </c>
    </row>
    <row r="151" spans="1:25" ht="14" x14ac:dyDescent="0.2">
      <c r="A151" s="189">
        <v>1</v>
      </c>
      <c r="B151" s="187" t="s">
        <v>135</v>
      </c>
      <c r="C151" s="190">
        <f t="shared" si="57"/>
        <v>1133</v>
      </c>
      <c r="D151" s="190">
        <f t="shared" si="58"/>
        <v>1057</v>
      </c>
      <c r="E151" s="190">
        <f t="shared" si="59"/>
        <v>715</v>
      </c>
      <c r="F151" s="190">
        <f t="shared" si="60"/>
        <v>649</v>
      </c>
      <c r="G151" s="190">
        <f t="shared" si="61"/>
        <v>381</v>
      </c>
      <c r="H151" s="190">
        <f t="shared" si="62"/>
        <v>254</v>
      </c>
      <c r="I151" s="190">
        <f t="shared" si="63"/>
        <v>169</v>
      </c>
      <c r="K151" s="186">
        <f>IF('INGRESO DE DATOS'!$W$19=1,'Tablas Guyanas y Santa Elena'!C148,'Tablas Resto de Ecuador'!C148)</f>
        <v>1133</v>
      </c>
      <c r="L151" s="186">
        <f>IF('INGRESO DE DATOS'!$W$19=1,'Tablas Guyanas y Santa Elena'!D148,'Tablas Resto de Ecuador'!D148)</f>
        <v>1057</v>
      </c>
      <c r="M151" s="186">
        <f>IF('INGRESO DE DATOS'!$W$19=1,'Tablas Guyanas y Santa Elena'!E148,'Tablas Resto de Ecuador'!E148)</f>
        <v>715</v>
      </c>
      <c r="N151" s="186">
        <f>IF('INGRESO DE DATOS'!$W$19=1,'Tablas Guyanas y Santa Elena'!F148,'Tablas Resto de Ecuador'!F148)</f>
        <v>649</v>
      </c>
      <c r="O151" s="186">
        <f>IF('INGRESO DE DATOS'!$W$19=1,'Tablas Guyanas y Santa Elena'!G148,'Tablas Resto de Ecuador'!G148)</f>
        <v>381</v>
      </c>
      <c r="P151" s="186">
        <f>IF('INGRESO DE DATOS'!$W$19=1,'Tablas Guyanas y Santa Elena'!H148,'Tablas Resto de Ecuador'!H148)</f>
        <v>254</v>
      </c>
      <c r="Q151" s="186">
        <f>IF('INGRESO DE DATOS'!$W$19=1,'Tablas Guyanas y Santa Elena'!I148,'Tablas Resto de Ecuador'!I148)</f>
        <v>169</v>
      </c>
      <c r="S151" s="188">
        <f t="shared" si="64"/>
        <v>1133</v>
      </c>
      <c r="T151" s="188">
        <f t="shared" si="65"/>
        <v>1057</v>
      </c>
      <c r="U151" s="188">
        <f t="shared" si="66"/>
        <v>715</v>
      </c>
      <c r="V151" s="188">
        <f t="shared" si="67"/>
        <v>649</v>
      </c>
      <c r="W151" s="188">
        <f t="shared" si="68"/>
        <v>381</v>
      </c>
      <c r="X151" s="188">
        <f t="shared" si="69"/>
        <v>254</v>
      </c>
      <c r="Y151" s="188">
        <f t="shared" si="70"/>
        <v>169</v>
      </c>
    </row>
    <row r="152" spans="1:25" ht="14" x14ac:dyDescent="0.2">
      <c r="A152" s="189">
        <v>2</v>
      </c>
      <c r="B152" s="187" t="s">
        <v>136</v>
      </c>
      <c r="C152" s="190">
        <f t="shared" si="57"/>
        <v>2047</v>
      </c>
      <c r="D152" s="190">
        <f t="shared" si="58"/>
        <v>1907</v>
      </c>
      <c r="E152" s="190">
        <f t="shared" si="59"/>
        <v>1308</v>
      </c>
      <c r="F152" s="190">
        <f t="shared" si="60"/>
        <v>1008</v>
      </c>
      <c r="G152" s="190">
        <f t="shared" si="61"/>
        <v>539</v>
      </c>
      <c r="H152" s="190">
        <f t="shared" si="62"/>
        <v>425</v>
      </c>
      <c r="I152" s="190">
        <f t="shared" si="63"/>
        <v>338</v>
      </c>
      <c r="K152" s="186">
        <f>IF('INGRESO DE DATOS'!$W$19=1,'Tablas Guyanas y Santa Elena'!C149,'Tablas Resto de Ecuador'!C149)</f>
        <v>2047</v>
      </c>
      <c r="L152" s="186">
        <f>IF('INGRESO DE DATOS'!$W$19=1,'Tablas Guyanas y Santa Elena'!D149,'Tablas Resto de Ecuador'!D149)</f>
        <v>1907</v>
      </c>
      <c r="M152" s="186">
        <f>IF('INGRESO DE DATOS'!$W$19=1,'Tablas Guyanas y Santa Elena'!E149,'Tablas Resto de Ecuador'!E149)</f>
        <v>1308</v>
      </c>
      <c r="N152" s="186">
        <f>IF('INGRESO DE DATOS'!$W$19=1,'Tablas Guyanas y Santa Elena'!F149,'Tablas Resto de Ecuador'!F149)</f>
        <v>1008</v>
      </c>
      <c r="O152" s="186">
        <f>IF('INGRESO DE DATOS'!$W$19=1,'Tablas Guyanas y Santa Elena'!G149,'Tablas Resto de Ecuador'!G149)</f>
        <v>539</v>
      </c>
      <c r="P152" s="186">
        <f>IF('INGRESO DE DATOS'!$W$19=1,'Tablas Guyanas y Santa Elena'!H149,'Tablas Resto de Ecuador'!H149)</f>
        <v>425</v>
      </c>
      <c r="Q152" s="186">
        <f>IF('INGRESO DE DATOS'!$W$19=1,'Tablas Guyanas y Santa Elena'!I149,'Tablas Resto de Ecuador'!I149)</f>
        <v>338</v>
      </c>
      <c r="S152" s="188">
        <f t="shared" si="64"/>
        <v>2047</v>
      </c>
      <c r="T152" s="188">
        <f t="shared" si="65"/>
        <v>1907</v>
      </c>
      <c r="U152" s="188">
        <f t="shared" si="66"/>
        <v>1308</v>
      </c>
      <c r="V152" s="188">
        <f t="shared" si="67"/>
        <v>1008</v>
      </c>
      <c r="W152" s="188">
        <f t="shared" si="68"/>
        <v>539</v>
      </c>
      <c r="X152" s="188">
        <f t="shared" si="69"/>
        <v>425</v>
      </c>
      <c r="Y152" s="188">
        <f t="shared" si="70"/>
        <v>338</v>
      </c>
    </row>
    <row r="153" spans="1:25" ht="14" x14ac:dyDescent="0.2">
      <c r="A153" s="189">
        <v>3</v>
      </c>
      <c r="B153" s="187" t="s">
        <v>137</v>
      </c>
      <c r="C153" s="190">
        <f t="shared" si="57"/>
        <v>2917</v>
      </c>
      <c r="D153" s="190">
        <f t="shared" si="58"/>
        <v>2709</v>
      </c>
      <c r="E153" s="190">
        <f t="shared" si="59"/>
        <v>1876</v>
      </c>
      <c r="F153" s="190">
        <f t="shared" si="60"/>
        <v>1396</v>
      </c>
      <c r="G153" s="190">
        <f t="shared" si="61"/>
        <v>748</v>
      </c>
      <c r="H153" s="190">
        <f t="shared" si="62"/>
        <v>638</v>
      </c>
      <c r="I153" s="190">
        <f t="shared" si="63"/>
        <v>507</v>
      </c>
      <c r="K153" s="186">
        <f>IF('INGRESO DE DATOS'!$W$19=1,'Tablas Guyanas y Santa Elena'!C150,'Tablas Resto de Ecuador'!C150)</f>
        <v>2917</v>
      </c>
      <c r="L153" s="186">
        <f>IF('INGRESO DE DATOS'!$W$19=1,'Tablas Guyanas y Santa Elena'!D150,'Tablas Resto de Ecuador'!D150)</f>
        <v>2709</v>
      </c>
      <c r="M153" s="186">
        <f>IF('INGRESO DE DATOS'!$W$19=1,'Tablas Guyanas y Santa Elena'!E150,'Tablas Resto de Ecuador'!E150)</f>
        <v>1876</v>
      </c>
      <c r="N153" s="186">
        <f>IF('INGRESO DE DATOS'!$W$19=1,'Tablas Guyanas y Santa Elena'!F150,'Tablas Resto de Ecuador'!F150)</f>
        <v>1396</v>
      </c>
      <c r="O153" s="186">
        <f>IF('INGRESO DE DATOS'!$W$19=1,'Tablas Guyanas y Santa Elena'!G150,'Tablas Resto de Ecuador'!G150)</f>
        <v>748</v>
      </c>
      <c r="P153" s="186">
        <f>IF('INGRESO DE DATOS'!$W$19=1,'Tablas Guyanas y Santa Elena'!H150,'Tablas Resto de Ecuador'!H150)</f>
        <v>638</v>
      </c>
      <c r="Q153" s="186">
        <f>IF('INGRESO DE DATOS'!$W$19=1,'Tablas Guyanas y Santa Elena'!I150,'Tablas Resto de Ecuador'!I150)</f>
        <v>507</v>
      </c>
      <c r="S153" s="188">
        <f t="shared" si="64"/>
        <v>2917</v>
      </c>
      <c r="T153" s="188">
        <f t="shared" si="65"/>
        <v>2709</v>
      </c>
      <c r="U153" s="188">
        <f t="shared" si="66"/>
        <v>1876</v>
      </c>
      <c r="V153" s="188">
        <f t="shared" si="67"/>
        <v>1396</v>
      </c>
      <c r="W153" s="188">
        <f t="shared" si="68"/>
        <v>748</v>
      </c>
      <c r="X153" s="188">
        <f t="shared" si="69"/>
        <v>638</v>
      </c>
      <c r="Y153" s="188">
        <f t="shared" si="70"/>
        <v>507</v>
      </c>
    </row>
    <row r="155" spans="1:25" ht="18" x14ac:dyDescent="0.2">
      <c r="A155" s="584" t="s">
        <v>140</v>
      </c>
      <c r="B155" s="585"/>
      <c r="C155" s="585"/>
      <c r="D155" s="585"/>
      <c r="E155" s="585"/>
      <c r="F155" s="585"/>
      <c r="G155" s="585"/>
      <c r="H155" s="585"/>
      <c r="I155" s="585"/>
    </row>
    <row r="156" spans="1:25" ht="18" x14ac:dyDescent="0.2">
      <c r="A156" s="586" t="s">
        <v>70</v>
      </c>
      <c r="B156" s="587"/>
      <c r="C156" s="587"/>
      <c r="D156" s="587"/>
      <c r="E156" s="587"/>
      <c r="F156" s="587"/>
      <c r="G156" s="587"/>
      <c r="H156" s="587"/>
      <c r="I156" s="587"/>
    </row>
    <row r="157" spans="1:25" x14ac:dyDescent="0.15">
      <c r="A157" s="589"/>
      <c r="B157" s="590"/>
      <c r="C157" s="590"/>
      <c r="D157" s="590"/>
      <c r="E157" s="590"/>
      <c r="F157" s="590"/>
      <c r="G157" s="590"/>
      <c r="H157" s="590"/>
      <c r="I157" s="590"/>
    </row>
    <row r="158" spans="1:25" x14ac:dyDescent="0.15">
      <c r="A158" s="591" t="s">
        <v>131</v>
      </c>
      <c r="B158" s="591"/>
      <c r="C158" s="342">
        <v>1000</v>
      </c>
      <c r="D158" s="342">
        <v>2000</v>
      </c>
      <c r="E158" s="342">
        <v>3000</v>
      </c>
      <c r="F158" s="342">
        <v>5000</v>
      </c>
      <c r="G158" s="342">
        <v>10000</v>
      </c>
      <c r="H158" s="343">
        <v>20000</v>
      </c>
      <c r="I158" s="343"/>
      <c r="K158" s="588" t="s">
        <v>132</v>
      </c>
      <c r="L158" s="588"/>
      <c r="M158" s="588"/>
      <c r="N158" s="588"/>
      <c r="O158" s="588"/>
      <c r="P158" s="588"/>
      <c r="Q158" s="588"/>
      <c r="S158" s="588" t="s">
        <v>139</v>
      </c>
      <c r="T158" s="588"/>
      <c r="U158" s="588"/>
      <c r="V158" s="588"/>
      <c r="W158" s="588"/>
      <c r="X158" s="588"/>
      <c r="Y158" s="588"/>
    </row>
    <row r="159" spans="1:25" ht="14" x14ac:dyDescent="0.2">
      <c r="A159" s="341">
        <v>18</v>
      </c>
      <c r="B159" s="339" t="s">
        <v>141</v>
      </c>
      <c r="C159" s="190">
        <f>S159*$AD$2</f>
        <v>5706</v>
      </c>
      <c r="D159" s="190">
        <f t="shared" ref="D159:D182" si="71">T159*$AD$2</f>
        <v>5661</v>
      </c>
      <c r="E159" s="190">
        <f t="shared" ref="E159:E182" si="72">U159*$AD$2</f>
        <v>4721</v>
      </c>
      <c r="F159" s="190">
        <f t="shared" ref="F159:F182" si="73">V159*$AD$2</f>
        <v>3689</v>
      </c>
      <c r="G159" s="190">
        <f t="shared" ref="G159:G182" si="74">W159*$AD$2</f>
        <v>2559</v>
      </c>
      <c r="H159" s="190">
        <f t="shared" ref="H159:H182" si="75">X159*$AD$2</f>
        <v>1963</v>
      </c>
      <c r="I159" s="190">
        <f t="shared" ref="I159:I182" si="76">Y159*$AD$2</f>
        <v>0</v>
      </c>
      <c r="K159" s="186">
        <f>IF('INGRESO DE DATOS'!$W$19=1,'Tablas Guyanas y Santa Elena'!C156,'Tablas Resto de Ecuador'!C156)</f>
        <v>5706</v>
      </c>
      <c r="L159" s="186">
        <f>IF('INGRESO DE DATOS'!$W$19=1,'Tablas Guyanas y Santa Elena'!D156,'Tablas Resto de Ecuador'!D156)</f>
        <v>5661</v>
      </c>
      <c r="M159" s="186">
        <f>IF('INGRESO DE DATOS'!$W$19=1,'Tablas Guyanas y Santa Elena'!E156,'Tablas Resto de Ecuador'!E156)</f>
        <v>4721</v>
      </c>
      <c r="N159" s="186">
        <f>IF('INGRESO DE DATOS'!$W$19=1,'Tablas Guyanas y Santa Elena'!F156,'Tablas Resto de Ecuador'!F156)</f>
        <v>3689</v>
      </c>
      <c r="O159" s="186">
        <f>IF('INGRESO DE DATOS'!$W$19=1,'Tablas Guyanas y Santa Elena'!G156,'Tablas Resto de Ecuador'!G156)</f>
        <v>2559</v>
      </c>
      <c r="P159" s="186">
        <f>IF('INGRESO DE DATOS'!$W$19=1,'Tablas Guyanas y Santa Elena'!H156,'Tablas Resto de Ecuador'!H156)</f>
        <v>1963</v>
      </c>
      <c r="Q159" s="186">
        <f>IF('INGRESO DE DATOS'!$W$19=1,'Tablas Guyanas y Santa Elena'!I156,'Tablas Resto de Ecuador'!I156)</f>
        <v>0</v>
      </c>
      <c r="S159" s="188">
        <f>(K159-50)*$S$4+50</f>
        <v>5706</v>
      </c>
      <c r="T159" s="188">
        <f t="shared" ref="T159:X159" si="77">(L159-50)*$S$4+50</f>
        <v>5661</v>
      </c>
      <c r="U159" s="188">
        <f t="shared" si="77"/>
        <v>4721</v>
      </c>
      <c r="V159" s="188">
        <f t="shared" si="77"/>
        <v>3689</v>
      </c>
      <c r="W159" s="188">
        <f t="shared" si="77"/>
        <v>2559</v>
      </c>
      <c r="X159" s="188">
        <f t="shared" si="77"/>
        <v>1963</v>
      </c>
      <c r="Y159" s="188">
        <f t="shared" ref="Y159" si="78">Q159*$U$4</f>
        <v>0</v>
      </c>
    </row>
    <row r="160" spans="1:25" s="379" customFormat="1" ht="14" x14ac:dyDescent="0.2">
      <c r="A160" s="375">
        <v>25</v>
      </c>
      <c r="B160" s="376" t="s">
        <v>142</v>
      </c>
      <c r="C160" s="377">
        <f t="shared" ref="C160:C182" si="79">S160*$AD$2</f>
        <v>6626</v>
      </c>
      <c r="D160" s="378">
        <f t="shared" si="71"/>
        <v>6617</v>
      </c>
      <c r="E160" s="378">
        <f t="shared" si="72"/>
        <v>5331</v>
      </c>
      <c r="F160" s="378">
        <f t="shared" si="73"/>
        <v>4099</v>
      </c>
      <c r="G160" s="378">
        <f t="shared" si="74"/>
        <v>2853</v>
      </c>
      <c r="H160" s="378">
        <f t="shared" si="75"/>
        <v>2174</v>
      </c>
      <c r="I160" s="378">
        <f t="shared" si="76"/>
        <v>0</v>
      </c>
      <c r="K160" s="380">
        <f>IF('INGRESO DE DATOS'!$W$19=1,'Tablas Guyanas y Santa Elena'!C157,'Tablas Resto de Ecuador'!C157)</f>
        <v>6626</v>
      </c>
      <c r="L160" s="380">
        <f>IF('INGRESO DE DATOS'!$W$19=1,'Tablas Guyanas y Santa Elena'!D157,'Tablas Resto de Ecuador'!D157)</f>
        <v>6617</v>
      </c>
      <c r="M160" s="380">
        <f>IF('INGRESO DE DATOS'!$W$19=1,'Tablas Guyanas y Santa Elena'!E157,'Tablas Resto de Ecuador'!E157)</f>
        <v>5331</v>
      </c>
      <c r="N160" s="380">
        <f>IF('INGRESO DE DATOS'!$W$19=1,'Tablas Guyanas y Santa Elena'!F157,'Tablas Resto de Ecuador'!F157)</f>
        <v>4099</v>
      </c>
      <c r="O160" s="380">
        <f>IF('INGRESO DE DATOS'!$W$19=1,'Tablas Guyanas y Santa Elena'!G157,'Tablas Resto de Ecuador'!G157)</f>
        <v>2853</v>
      </c>
      <c r="P160" s="380">
        <f>IF('INGRESO DE DATOS'!$W$19=1,'Tablas Guyanas y Santa Elena'!H157,'Tablas Resto de Ecuador'!H157)</f>
        <v>2174</v>
      </c>
      <c r="Q160" s="380">
        <f>IF('INGRESO DE DATOS'!$W$19=1,'Tablas Guyanas y Santa Elena'!I157,'Tablas Resto de Ecuador'!I157)</f>
        <v>0</v>
      </c>
      <c r="S160" s="188">
        <f t="shared" ref="S160:S182" si="80">(K160-50)*$S$4+50</f>
        <v>6626</v>
      </c>
      <c r="T160" s="188">
        <f t="shared" ref="T160:T182" si="81">(L160-50)*$S$4+50</f>
        <v>6617</v>
      </c>
      <c r="U160" s="188">
        <f t="shared" ref="U160:U182" si="82">(M160-50)*$S$4+50</f>
        <v>5331</v>
      </c>
      <c r="V160" s="188">
        <f t="shared" ref="V160:V182" si="83">(N160-50)*$S$4+50</f>
        <v>4099</v>
      </c>
      <c r="W160" s="188">
        <f t="shared" ref="W160:W182" si="84">(O160-50)*$S$4+50</f>
        <v>2853</v>
      </c>
      <c r="X160" s="188">
        <f t="shared" ref="X160:X182" si="85">(P160-50)*$S$4+50</f>
        <v>2174</v>
      </c>
      <c r="Y160" s="381">
        <f t="shared" ref="Y160:Y182" si="86">Q160*$U$4</f>
        <v>0</v>
      </c>
    </row>
    <row r="161" spans="1:25" ht="14" x14ac:dyDescent="0.2">
      <c r="A161" s="341">
        <v>30</v>
      </c>
      <c r="B161" s="339" t="s">
        <v>143</v>
      </c>
      <c r="C161" s="338">
        <f t="shared" si="79"/>
        <v>7524</v>
      </c>
      <c r="D161" s="190">
        <f t="shared" si="71"/>
        <v>7296</v>
      </c>
      <c r="E161" s="190">
        <f t="shared" si="72"/>
        <v>6009</v>
      </c>
      <c r="F161" s="190">
        <f t="shared" si="73"/>
        <v>4738</v>
      </c>
      <c r="G161" s="190">
        <f t="shared" si="74"/>
        <v>3279</v>
      </c>
      <c r="H161" s="190">
        <f t="shared" si="75"/>
        <v>2501</v>
      </c>
      <c r="I161" s="190">
        <f t="shared" si="76"/>
        <v>0</v>
      </c>
      <c r="K161" s="186">
        <f>IF('INGRESO DE DATOS'!$W$19=1,'Tablas Guyanas y Santa Elena'!C158,'Tablas Resto de Ecuador'!C158)</f>
        <v>7524</v>
      </c>
      <c r="L161" s="186">
        <f>IF('INGRESO DE DATOS'!$W$19=1,'Tablas Guyanas y Santa Elena'!D158,'Tablas Resto de Ecuador'!D158)</f>
        <v>7296</v>
      </c>
      <c r="M161" s="186">
        <f>IF('INGRESO DE DATOS'!$W$19=1,'Tablas Guyanas y Santa Elena'!E158,'Tablas Resto de Ecuador'!E158)</f>
        <v>6009</v>
      </c>
      <c r="N161" s="186">
        <f>IF('INGRESO DE DATOS'!$W$19=1,'Tablas Guyanas y Santa Elena'!F158,'Tablas Resto de Ecuador'!F158)</f>
        <v>4738</v>
      </c>
      <c r="O161" s="186">
        <f>IF('INGRESO DE DATOS'!$W$19=1,'Tablas Guyanas y Santa Elena'!G158,'Tablas Resto de Ecuador'!G158)</f>
        <v>3279</v>
      </c>
      <c r="P161" s="186">
        <f>IF('INGRESO DE DATOS'!$W$19=1,'Tablas Guyanas y Santa Elena'!H158,'Tablas Resto de Ecuador'!H158)</f>
        <v>2501</v>
      </c>
      <c r="Q161" s="186">
        <f>IF('INGRESO DE DATOS'!$W$19=1,'Tablas Guyanas y Santa Elena'!I158,'Tablas Resto de Ecuador'!I158)</f>
        <v>0</v>
      </c>
      <c r="S161" s="188">
        <f t="shared" si="80"/>
        <v>7524</v>
      </c>
      <c r="T161" s="188">
        <f t="shared" si="81"/>
        <v>7296</v>
      </c>
      <c r="U161" s="188">
        <f t="shared" si="82"/>
        <v>6009</v>
      </c>
      <c r="V161" s="188">
        <f t="shared" si="83"/>
        <v>4738</v>
      </c>
      <c r="W161" s="188">
        <f t="shared" si="84"/>
        <v>3279</v>
      </c>
      <c r="X161" s="188">
        <f t="shared" si="85"/>
        <v>2501</v>
      </c>
      <c r="Y161" s="188">
        <f t="shared" si="86"/>
        <v>0</v>
      </c>
    </row>
    <row r="162" spans="1:25" ht="14" x14ac:dyDescent="0.2">
      <c r="A162" s="341">
        <v>35</v>
      </c>
      <c r="B162" s="339" t="s">
        <v>144</v>
      </c>
      <c r="C162" s="338">
        <f t="shared" si="79"/>
        <v>8410</v>
      </c>
      <c r="D162" s="190">
        <f t="shared" si="71"/>
        <v>7994</v>
      </c>
      <c r="E162" s="190">
        <f t="shared" si="72"/>
        <v>6928</v>
      </c>
      <c r="F162" s="190">
        <f t="shared" si="73"/>
        <v>5263</v>
      </c>
      <c r="G162" s="190">
        <f t="shared" si="74"/>
        <v>3635</v>
      </c>
      <c r="H162" s="190">
        <f t="shared" si="75"/>
        <v>2767</v>
      </c>
      <c r="I162" s="190">
        <f t="shared" si="76"/>
        <v>0</v>
      </c>
      <c r="K162" s="186">
        <f>IF('INGRESO DE DATOS'!$W$19=1,'Tablas Guyanas y Santa Elena'!C159,'Tablas Resto de Ecuador'!C159)</f>
        <v>8410</v>
      </c>
      <c r="L162" s="186">
        <f>IF('INGRESO DE DATOS'!$W$19=1,'Tablas Guyanas y Santa Elena'!D159,'Tablas Resto de Ecuador'!D159)</f>
        <v>7994</v>
      </c>
      <c r="M162" s="186">
        <f>IF('INGRESO DE DATOS'!$W$19=1,'Tablas Guyanas y Santa Elena'!E159,'Tablas Resto de Ecuador'!E159)</f>
        <v>6928</v>
      </c>
      <c r="N162" s="186">
        <f>IF('INGRESO DE DATOS'!$W$19=1,'Tablas Guyanas y Santa Elena'!F159,'Tablas Resto de Ecuador'!F159)</f>
        <v>5263</v>
      </c>
      <c r="O162" s="186">
        <f>IF('INGRESO DE DATOS'!$W$19=1,'Tablas Guyanas y Santa Elena'!G159,'Tablas Resto de Ecuador'!G159)</f>
        <v>3635</v>
      </c>
      <c r="P162" s="186">
        <f>IF('INGRESO DE DATOS'!$W$19=1,'Tablas Guyanas y Santa Elena'!H159,'Tablas Resto de Ecuador'!H159)</f>
        <v>2767</v>
      </c>
      <c r="Q162" s="186">
        <f>IF('INGRESO DE DATOS'!$W$19=1,'Tablas Guyanas y Santa Elena'!I159,'Tablas Resto de Ecuador'!I159)</f>
        <v>0</v>
      </c>
      <c r="S162" s="188">
        <f t="shared" si="80"/>
        <v>8410</v>
      </c>
      <c r="T162" s="188">
        <f t="shared" si="81"/>
        <v>7994</v>
      </c>
      <c r="U162" s="188">
        <f t="shared" si="82"/>
        <v>6928</v>
      </c>
      <c r="V162" s="188">
        <f t="shared" si="83"/>
        <v>5263</v>
      </c>
      <c r="W162" s="188">
        <f t="shared" si="84"/>
        <v>3635</v>
      </c>
      <c r="X162" s="188">
        <f t="shared" si="85"/>
        <v>2767</v>
      </c>
      <c r="Y162" s="188">
        <f t="shared" si="86"/>
        <v>0</v>
      </c>
    </row>
    <row r="163" spans="1:25" ht="14" x14ac:dyDescent="0.2">
      <c r="A163" s="341">
        <v>40</v>
      </c>
      <c r="B163" s="339" t="s">
        <v>145</v>
      </c>
      <c r="C163" s="338">
        <f t="shared" si="79"/>
        <v>9292</v>
      </c>
      <c r="D163" s="190">
        <f t="shared" si="71"/>
        <v>8696</v>
      </c>
      <c r="E163" s="190">
        <f t="shared" si="72"/>
        <v>8023</v>
      </c>
      <c r="F163" s="190">
        <f t="shared" si="73"/>
        <v>5932</v>
      </c>
      <c r="G163" s="190">
        <f t="shared" si="74"/>
        <v>4107</v>
      </c>
      <c r="H163" s="190">
        <f t="shared" si="75"/>
        <v>3110</v>
      </c>
      <c r="I163" s="190">
        <f t="shared" si="76"/>
        <v>0</v>
      </c>
      <c r="K163" s="186">
        <f>IF('INGRESO DE DATOS'!$W$19=1,'Tablas Guyanas y Santa Elena'!C160,'Tablas Resto de Ecuador'!C160)</f>
        <v>9292</v>
      </c>
      <c r="L163" s="186">
        <f>IF('INGRESO DE DATOS'!$W$19=1,'Tablas Guyanas y Santa Elena'!D160,'Tablas Resto de Ecuador'!D160)</f>
        <v>8696</v>
      </c>
      <c r="M163" s="186">
        <f>IF('INGRESO DE DATOS'!$W$19=1,'Tablas Guyanas y Santa Elena'!E160,'Tablas Resto de Ecuador'!E160)</f>
        <v>8023</v>
      </c>
      <c r="N163" s="186">
        <f>IF('INGRESO DE DATOS'!$W$19=1,'Tablas Guyanas y Santa Elena'!F160,'Tablas Resto de Ecuador'!F160)</f>
        <v>5932</v>
      </c>
      <c r="O163" s="186">
        <f>IF('INGRESO DE DATOS'!$W$19=1,'Tablas Guyanas y Santa Elena'!G160,'Tablas Resto de Ecuador'!G160)</f>
        <v>4107</v>
      </c>
      <c r="P163" s="186">
        <f>IF('INGRESO DE DATOS'!$W$19=1,'Tablas Guyanas y Santa Elena'!H160,'Tablas Resto de Ecuador'!H160)</f>
        <v>3110</v>
      </c>
      <c r="Q163" s="186">
        <f>IF('INGRESO DE DATOS'!$W$19=1,'Tablas Guyanas y Santa Elena'!I160,'Tablas Resto de Ecuador'!I160)</f>
        <v>0</v>
      </c>
      <c r="S163" s="188">
        <f t="shared" si="80"/>
        <v>9292</v>
      </c>
      <c r="T163" s="188">
        <f t="shared" si="81"/>
        <v>8696</v>
      </c>
      <c r="U163" s="188">
        <f t="shared" si="82"/>
        <v>8023</v>
      </c>
      <c r="V163" s="188">
        <f t="shared" si="83"/>
        <v>5932</v>
      </c>
      <c r="W163" s="188">
        <f t="shared" si="84"/>
        <v>4107</v>
      </c>
      <c r="X163" s="188">
        <f t="shared" si="85"/>
        <v>3110</v>
      </c>
      <c r="Y163" s="188">
        <f t="shared" si="86"/>
        <v>0</v>
      </c>
    </row>
    <row r="164" spans="1:25" ht="14" x14ac:dyDescent="0.2">
      <c r="A164" s="341">
        <v>45</v>
      </c>
      <c r="B164" s="339" t="s">
        <v>146</v>
      </c>
      <c r="C164" s="338">
        <f t="shared" si="79"/>
        <v>10174</v>
      </c>
      <c r="D164" s="190">
        <f t="shared" si="71"/>
        <v>9919</v>
      </c>
      <c r="E164" s="190">
        <f t="shared" si="72"/>
        <v>9642</v>
      </c>
      <c r="F164" s="190">
        <f t="shared" si="73"/>
        <v>6897</v>
      </c>
      <c r="G164" s="190">
        <f t="shared" si="74"/>
        <v>4757</v>
      </c>
      <c r="H164" s="190">
        <f t="shared" si="75"/>
        <v>3598</v>
      </c>
      <c r="I164" s="190">
        <f t="shared" si="76"/>
        <v>0</v>
      </c>
      <c r="K164" s="186">
        <f>IF('INGRESO DE DATOS'!$W$19=1,'Tablas Guyanas y Santa Elena'!C161,'Tablas Resto de Ecuador'!C161)</f>
        <v>10174</v>
      </c>
      <c r="L164" s="186">
        <f>IF('INGRESO DE DATOS'!$W$19=1,'Tablas Guyanas y Santa Elena'!D161,'Tablas Resto de Ecuador'!D161)</f>
        <v>9919</v>
      </c>
      <c r="M164" s="186">
        <f>IF('INGRESO DE DATOS'!$W$19=1,'Tablas Guyanas y Santa Elena'!E161,'Tablas Resto de Ecuador'!E161)</f>
        <v>9642</v>
      </c>
      <c r="N164" s="186">
        <f>IF('INGRESO DE DATOS'!$W$19=1,'Tablas Guyanas y Santa Elena'!F161,'Tablas Resto de Ecuador'!F161)</f>
        <v>6897</v>
      </c>
      <c r="O164" s="186">
        <f>IF('INGRESO DE DATOS'!$W$19=1,'Tablas Guyanas y Santa Elena'!G161,'Tablas Resto de Ecuador'!G161)</f>
        <v>4757</v>
      </c>
      <c r="P164" s="186">
        <f>IF('INGRESO DE DATOS'!$W$19=1,'Tablas Guyanas y Santa Elena'!H161,'Tablas Resto de Ecuador'!H161)</f>
        <v>3598</v>
      </c>
      <c r="Q164" s="186">
        <f>IF('INGRESO DE DATOS'!$W$19=1,'Tablas Guyanas y Santa Elena'!I161,'Tablas Resto de Ecuador'!I161)</f>
        <v>0</v>
      </c>
      <c r="S164" s="188">
        <f t="shared" si="80"/>
        <v>10174</v>
      </c>
      <c r="T164" s="188">
        <f t="shared" si="81"/>
        <v>9919</v>
      </c>
      <c r="U164" s="188">
        <f t="shared" si="82"/>
        <v>9642</v>
      </c>
      <c r="V164" s="188">
        <f t="shared" si="83"/>
        <v>6897</v>
      </c>
      <c r="W164" s="188">
        <f t="shared" si="84"/>
        <v>4757</v>
      </c>
      <c r="X164" s="188">
        <f t="shared" si="85"/>
        <v>3598</v>
      </c>
      <c r="Y164" s="188">
        <f t="shared" si="86"/>
        <v>0</v>
      </c>
    </row>
    <row r="165" spans="1:25" ht="14" x14ac:dyDescent="0.2">
      <c r="A165" s="341">
        <v>50</v>
      </c>
      <c r="B165" s="339" t="s">
        <v>147</v>
      </c>
      <c r="C165" s="338">
        <f t="shared" si="79"/>
        <v>11068</v>
      </c>
      <c r="D165" s="190">
        <f t="shared" si="71"/>
        <v>11440</v>
      </c>
      <c r="E165" s="190">
        <f t="shared" si="72"/>
        <v>10776</v>
      </c>
      <c r="F165" s="190">
        <f t="shared" si="73"/>
        <v>7544</v>
      </c>
      <c r="G165" s="190">
        <f t="shared" si="74"/>
        <v>5209</v>
      </c>
      <c r="H165" s="190">
        <f t="shared" si="75"/>
        <v>3927</v>
      </c>
      <c r="I165" s="190">
        <f t="shared" si="76"/>
        <v>0</v>
      </c>
      <c r="K165" s="186">
        <f>IF('INGRESO DE DATOS'!$W$19=1,'Tablas Guyanas y Santa Elena'!C162,'Tablas Resto de Ecuador'!C162)</f>
        <v>11068</v>
      </c>
      <c r="L165" s="186">
        <f>IF('INGRESO DE DATOS'!$W$19=1,'Tablas Guyanas y Santa Elena'!D162,'Tablas Resto de Ecuador'!D162)</f>
        <v>11440</v>
      </c>
      <c r="M165" s="186">
        <f>IF('INGRESO DE DATOS'!$W$19=1,'Tablas Guyanas y Santa Elena'!E162,'Tablas Resto de Ecuador'!E162)</f>
        <v>10776</v>
      </c>
      <c r="N165" s="186">
        <f>IF('INGRESO DE DATOS'!$W$19=1,'Tablas Guyanas y Santa Elena'!F162,'Tablas Resto de Ecuador'!F162)</f>
        <v>7544</v>
      </c>
      <c r="O165" s="186">
        <f>IF('INGRESO DE DATOS'!$W$19=1,'Tablas Guyanas y Santa Elena'!G162,'Tablas Resto de Ecuador'!G162)</f>
        <v>5209</v>
      </c>
      <c r="P165" s="186">
        <f>IF('INGRESO DE DATOS'!$W$19=1,'Tablas Guyanas y Santa Elena'!H162,'Tablas Resto de Ecuador'!H162)</f>
        <v>3927</v>
      </c>
      <c r="Q165" s="186">
        <f>IF('INGRESO DE DATOS'!$W$19=1,'Tablas Guyanas y Santa Elena'!I162,'Tablas Resto de Ecuador'!I162)</f>
        <v>0</v>
      </c>
      <c r="S165" s="188">
        <f t="shared" si="80"/>
        <v>11068</v>
      </c>
      <c r="T165" s="188">
        <f t="shared" si="81"/>
        <v>11440</v>
      </c>
      <c r="U165" s="188">
        <f t="shared" si="82"/>
        <v>10776</v>
      </c>
      <c r="V165" s="188">
        <f t="shared" si="83"/>
        <v>7544</v>
      </c>
      <c r="W165" s="188">
        <f t="shared" si="84"/>
        <v>5209</v>
      </c>
      <c r="X165" s="188">
        <f t="shared" si="85"/>
        <v>3927</v>
      </c>
      <c r="Y165" s="188">
        <f t="shared" si="86"/>
        <v>0</v>
      </c>
    </row>
    <row r="166" spans="1:25" ht="14" x14ac:dyDescent="0.2">
      <c r="A166" s="341">
        <v>55</v>
      </c>
      <c r="B166" s="339" t="s">
        <v>148</v>
      </c>
      <c r="C166" s="338">
        <f t="shared" si="79"/>
        <v>11979</v>
      </c>
      <c r="D166" s="190">
        <f t="shared" si="71"/>
        <v>12395</v>
      </c>
      <c r="E166" s="190">
        <f t="shared" si="72"/>
        <v>11530</v>
      </c>
      <c r="F166" s="190">
        <f t="shared" si="73"/>
        <v>8571</v>
      </c>
      <c r="G166" s="190">
        <f t="shared" si="74"/>
        <v>6167</v>
      </c>
      <c r="H166" s="190">
        <f t="shared" si="75"/>
        <v>4627</v>
      </c>
      <c r="I166" s="190">
        <f t="shared" si="76"/>
        <v>0</v>
      </c>
      <c r="K166" s="186">
        <f>IF('INGRESO DE DATOS'!$W$19=1,'Tablas Guyanas y Santa Elena'!C163,'Tablas Resto de Ecuador'!C163)</f>
        <v>11979</v>
      </c>
      <c r="L166" s="186">
        <f>IF('INGRESO DE DATOS'!$W$19=1,'Tablas Guyanas y Santa Elena'!D163,'Tablas Resto de Ecuador'!D163)</f>
        <v>12395</v>
      </c>
      <c r="M166" s="186">
        <f>IF('INGRESO DE DATOS'!$W$19=1,'Tablas Guyanas y Santa Elena'!E163,'Tablas Resto de Ecuador'!E163)</f>
        <v>11530</v>
      </c>
      <c r="N166" s="186">
        <f>IF('INGRESO DE DATOS'!$W$19=1,'Tablas Guyanas y Santa Elena'!F163,'Tablas Resto de Ecuador'!F163)</f>
        <v>8571</v>
      </c>
      <c r="O166" s="186">
        <f>IF('INGRESO DE DATOS'!$W$19=1,'Tablas Guyanas y Santa Elena'!G163,'Tablas Resto de Ecuador'!G163)</f>
        <v>6167</v>
      </c>
      <c r="P166" s="186">
        <f>IF('INGRESO DE DATOS'!$W$19=1,'Tablas Guyanas y Santa Elena'!H163,'Tablas Resto de Ecuador'!H163)</f>
        <v>4627</v>
      </c>
      <c r="Q166" s="186">
        <f>IF('INGRESO DE DATOS'!$W$19=1,'Tablas Guyanas y Santa Elena'!I163,'Tablas Resto de Ecuador'!I163)</f>
        <v>0</v>
      </c>
      <c r="S166" s="188">
        <f t="shared" si="80"/>
        <v>11979</v>
      </c>
      <c r="T166" s="188">
        <f t="shared" si="81"/>
        <v>12395</v>
      </c>
      <c r="U166" s="188">
        <f t="shared" si="82"/>
        <v>11530</v>
      </c>
      <c r="V166" s="188">
        <f t="shared" si="83"/>
        <v>8571</v>
      </c>
      <c r="W166" s="188">
        <f t="shared" si="84"/>
        <v>6167</v>
      </c>
      <c r="X166" s="188">
        <f t="shared" si="85"/>
        <v>4627</v>
      </c>
      <c r="Y166" s="188">
        <f t="shared" si="86"/>
        <v>0</v>
      </c>
    </row>
    <row r="167" spans="1:25" s="372" customFormat="1" ht="14" x14ac:dyDescent="0.2">
      <c r="A167" s="341">
        <v>60</v>
      </c>
      <c r="B167" s="340">
        <v>60</v>
      </c>
      <c r="C167" s="338">
        <f t="shared" si="79"/>
        <v>12915</v>
      </c>
      <c r="D167" s="190">
        <f t="shared" si="71"/>
        <v>13375</v>
      </c>
      <c r="E167" s="190">
        <f t="shared" si="72"/>
        <v>12323</v>
      </c>
      <c r="F167" s="190">
        <f t="shared" si="73"/>
        <v>9183</v>
      </c>
      <c r="G167" s="190">
        <f t="shared" si="74"/>
        <v>6512</v>
      </c>
      <c r="H167" s="190">
        <f t="shared" si="75"/>
        <v>4891</v>
      </c>
      <c r="I167" s="190">
        <f t="shared" si="76"/>
        <v>0</v>
      </c>
      <c r="K167" s="373">
        <f>IF('INGRESO DE DATOS'!$W$19=1,'Tablas Guyanas y Santa Elena'!C164,'Tablas Resto de Ecuador'!C164)</f>
        <v>12915</v>
      </c>
      <c r="L167" s="373">
        <f>IF('INGRESO DE DATOS'!$W$19=1,'Tablas Guyanas y Santa Elena'!D164,'Tablas Resto de Ecuador'!D164)</f>
        <v>13375</v>
      </c>
      <c r="M167" s="373">
        <f>IF('INGRESO DE DATOS'!$W$19=1,'Tablas Guyanas y Santa Elena'!E164,'Tablas Resto de Ecuador'!E164)</f>
        <v>12323</v>
      </c>
      <c r="N167" s="373">
        <f>IF('INGRESO DE DATOS'!$W$19=1,'Tablas Guyanas y Santa Elena'!F164,'Tablas Resto de Ecuador'!F164)</f>
        <v>9183</v>
      </c>
      <c r="O167" s="373">
        <f>IF('INGRESO DE DATOS'!$W$19=1,'Tablas Guyanas y Santa Elena'!G164,'Tablas Resto de Ecuador'!G164)</f>
        <v>6512</v>
      </c>
      <c r="P167" s="373">
        <f>IF('INGRESO DE DATOS'!$W$19=1,'Tablas Guyanas y Santa Elena'!H164,'Tablas Resto de Ecuador'!H164)</f>
        <v>4891</v>
      </c>
      <c r="Q167" s="373">
        <f>IF('INGRESO DE DATOS'!$W$19=1,'Tablas Guyanas y Santa Elena'!I164,'Tablas Resto de Ecuador'!I164)</f>
        <v>0</v>
      </c>
      <c r="S167" s="188">
        <f t="shared" si="80"/>
        <v>12915</v>
      </c>
      <c r="T167" s="188">
        <f t="shared" si="81"/>
        <v>13375</v>
      </c>
      <c r="U167" s="188">
        <f t="shared" si="82"/>
        <v>12323</v>
      </c>
      <c r="V167" s="188">
        <f t="shared" si="83"/>
        <v>9183</v>
      </c>
      <c r="W167" s="188">
        <f t="shared" si="84"/>
        <v>6512</v>
      </c>
      <c r="X167" s="188">
        <f t="shared" si="85"/>
        <v>4891</v>
      </c>
      <c r="Y167" s="374">
        <f t="shared" si="86"/>
        <v>0</v>
      </c>
    </row>
    <row r="168" spans="1:25" ht="14" x14ac:dyDescent="0.2">
      <c r="A168" s="341">
        <v>61</v>
      </c>
      <c r="B168" s="340">
        <v>61</v>
      </c>
      <c r="C168" s="338">
        <f t="shared" si="79"/>
        <v>13885</v>
      </c>
      <c r="D168" s="190">
        <f t="shared" si="71"/>
        <v>14391</v>
      </c>
      <c r="E168" s="190">
        <f t="shared" si="72"/>
        <v>13165</v>
      </c>
      <c r="F168" s="190">
        <f t="shared" si="73"/>
        <v>9855</v>
      </c>
      <c r="G168" s="190">
        <f t="shared" si="74"/>
        <v>7327</v>
      </c>
      <c r="H168" s="190">
        <f t="shared" si="75"/>
        <v>5507</v>
      </c>
      <c r="I168" s="190">
        <f t="shared" si="76"/>
        <v>0</v>
      </c>
      <c r="K168" s="186">
        <f>IF('INGRESO DE DATOS'!$W$19=1,'Tablas Guyanas y Santa Elena'!C165,'Tablas Resto de Ecuador'!C165)</f>
        <v>13885</v>
      </c>
      <c r="L168" s="186">
        <f>IF('INGRESO DE DATOS'!$W$19=1,'Tablas Guyanas y Santa Elena'!D165,'Tablas Resto de Ecuador'!D165)</f>
        <v>14391</v>
      </c>
      <c r="M168" s="186">
        <f>IF('INGRESO DE DATOS'!$W$19=1,'Tablas Guyanas y Santa Elena'!E165,'Tablas Resto de Ecuador'!E165)</f>
        <v>13165</v>
      </c>
      <c r="N168" s="186">
        <f>IF('INGRESO DE DATOS'!$W$19=1,'Tablas Guyanas y Santa Elena'!F165,'Tablas Resto de Ecuador'!F165)</f>
        <v>9855</v>
      </c>
      <c r="O168" s="186">
        <f>IF('INGRESO DE DATOS'!$W$19=1,'Tablas Guyanas y Santa Elena'!G165,'Tablas Resto de Ecuador'!G165)</f>
        <v>7327</v>
      </c>
      <c r="P168" s="186">
        <f>IF('INGRESO DE DATOS'!$W$19=1,'Tablas Guyanas y Santa Elena'!H165,'Tablas Resto de Ecuador'!H165)</f>
        <v>5507</v>
      </c>
      <c r="Q168" s="186">
        <f>IF('INGRESO DE DATOS'!$W$19=1,'Tablas Guyanas y Santa Elena'!I165,'Tablas Resto de Ecuador'!I165)</f>
        <v>0</v>
      </c>
      <c r="S168" s="188">
        <f t="shared" si="80"/>
        <v>13885</v>
      </c>
      <c r="T168" s="188">
        <f t="shared" si="81"/>
        <v>14391</v>
      </c>
      <c r="U168" s="188">
        <f t="shared" si="82"/>
        <v>13165</v>
      </c>
      <c r="V168" s="188">
        <f t="shared" si="83"/>
        <v>9855</v>
      </c>
      <c r="W168" s="188">
        <f t="shared" si="84"/>
        <v>7327</v>
      </c>
      <c r="X168" s="188">
        <f t="shared" si="85"/>
        <v>5507</v>
      </c>
      <c r="Y168" s="188">
        <f t="shared" si="86"/>
        <v>0</v>
      </c>
    </row>
    <row r="169" spans="1:25" ht="14" x14ac:dyDescent="0.2">
      <c r="A169" s="341">
        <v>62</v>
      </c>
      <c r="B169" s="340">
        <v>62</v>
      </c>
      <c r="C169" s="338">
        <f t="shared" si="79"/>
        <v>14895</v>
      </c>
      <c r="D169" s="190">
        <f t="shared" si="71"/>
        <v>15448</v>
      </c>
      <c r="E169" s="190">
        <f t="shared" si="72"/>
        <v>14067</v>
      </c>
      <c r="F169" s="190">
        <f t="shared" si="73"/>
        <v>10603</v>
      </c>
      <c r="G169" s="190">
        <f t="shared" si="74"/>
        <v>8137</v>
      </c>
      <c r="H169" s="190">
        <f t="shared" si="75"/>
        <v>6120</v>
      </c>
      <c r="I169" s="190">
        <f t="shared" si="76"/>
        <v>0</v>
      </c>
      <c r="K169" s="186">
        <f>IF('INGRESO DE DATOS'!$W$19=1,'Tablas Guyanas y Santa Elena'!C166,'Tablas Resto de Ecuador'!C166)</f>
        <v>14895</v>
      </c>
      <c r="L169" s="186">
        <f>IF('INGRESO DE DATOS'!$W$19=1,'Tablas Guyanas y Santa Elena'!D166,'Tablas Resto de Ecuador'!D166)</f>
        <v>15448</v>
      </c>
      <c r="M169" s="186">
        <f>IF('INGRESO DE DATOS'!$W$19=1,'Tablas Guyanas y Santa Elena'!E166,'Tablas Resto de Ecuador'!E166)</f>
        <v>14067</v>
      </c>
      <c r="N169" s="186">
        <f>IF('INGRESO DE DATOS'!$W$19=1,'Tablas Guyanas y Santa Elena'!F166,'Tablas Resto de Ecuador'!F166)</f>
        <v>10603</v>
      </c>
      <c r="O169" s="186">
        <f>IF('INGRESO DE DATOS'!$W$19=1,'Tablas Guyanas y Santa Elena'!G166,'Tablas Resto de Ecuador'!G166)</f>
        <v>8137</v>
      </c>
      <c r="P169" s="186">
        <f>IF('INGRESO DE DATOS'!$W$19=1,'Tablas Guyanas y Santa Elena'!H166,'Tablas Resto de Ecuador'!H166)</f>
        <v>6120</v>
      </c>
      <c r="Q169" s="186">
        <f>IF('INGRESO DE DATOS'!$W$19=1,'Tablas Guyanas y Santa Elena'!I166,'Tablas Resto de Ecuador'!I166)</f>
        <v>0</v>
      </c>
      <c r="S169" s="188">
        <f t="shared" si="80"/>
        <v>14895</v>
      </c>
      <c r="T169" s="188">
        <f t="shared" si="81"/>
        <v>15448</v>
      </c>
      <c r="U169" s="188">
        <f t="shared" si="82"/>
        <v>14067</v>
      </c>
      <c r="V169" s="188">
        <f t="shared" si="83"/>
        <v>10603</v>
      </c>
      <c r="W169" s="188">
        <f t="shared" si="84"/>
        <v>8137</v>
      </c>
      <c r="X169" s="188">
        <f t="shared" si="85"/>
        <v>6120</v>
      </c>
      <c r="Y169" s="188">
        <f t="shared" si="86"/>
        <v>0</v>
      </c>
    </row>
    <row r="170" spans="1:25" ht="14" x14ac:dyDescent="0.2">
      <c r="A170" s="341">
        <v>63</v>
      </c>
      <c r="B170" s="340">
        <v>63</v>
      </c>
      <c r="C170" s="338">
        <f t="shared" si="79"/>
        <v>15953</v>
      </c>
      <c r="D170" s="190">
        <f t="shared" si="71"/>
        <v>16557</v>
      </c>
      <c r="E170" s="190">
        <f t="shared" si="72"/>
        <v>15043</v>
      </c>
      <c r="F170" s="190">
        <f t="shared" si="73"/>
        <v>11437</v>
      </c>
      <c r="G170" s="190">
        <f t="shared" si="74"/>
        <v>8946</v>
      </c>
      <c r="H170" s="190">
        <f t="shared" si="75"/>
        <v>6720</v>
      </c>
      <c r="I170" s="190">
        <f t="shared" si="76"/>
        <v>0</v>
      </c>
      <c r="K170" s="186">
        <f>IF('INGRESO DE DATOS'!$W$19=1,'Tablas Guyanas y Santa Elena'!C167,'Tablas Resto de Ecuador'!C167)</f>
        <v>15953</v>
      </c>
      <c r="L170" s="186">
        <f>IF('INGRESO DE DATOS'!$W$19=1,'Tablas Guyanas y Santa Elena'!D167,'Tablas Resto de Ecuador'!D167)</f>
        <v>16557</v>
      </c>
      <c r="M170" s="186">
        <f>IF('INGRESO DE DATOS'!$W$19=1,'Tablas Guyanas y Santa Elena'!E167,'Tablas Resto de Ecuador'!E167)</f>
        <v>15043</v>
      </c>
      <c r="N170" s="186">
        <f>IF('INGRESO DE DATOS'!$W$19=1,'Tablas Guyanas y Santa Elena'!F167,'Tablas Resto de Ecuador'!F167)</f>
        <v>11437</v>
      </c>
      <c r="O170" s="186">
        <f>IF('INGRESO DE DATOS'!$W$19=1,'Tablas Guyanas y Santa Elena'!G167,'Tablas Resto de Ecuador'!G167)</f>
        <v>8946</v>
      </c>
      <c r="P170" s="186">
        <f>IF('INGRESO DE DATOS'!$W$19=1,'Tablas Guyanas y Santa Elena'!H167,'Tablas Resto de Ecuador'!H167)</f>
        <v>6720</v>
      </c>
      <c r="Q170" s="186">
        <f>IF('INGRESO DE DATOS'!$W$19=1,'Tablas Guyanas y Santa Elena'!I167,'Tablas Resto de Ecuador'!I167)</f>
        <v>0</v>
      </c>
      <c r="S170" s="188">
        <f t="shared" si="80"/>
        <v>15953</v>
      </c>
      <c r="T170" s="188">
        <f t="shared" si="81"/>
        <v>16557</v>
      </c>
      <c r="U170" s="188">
        <f t="shared" si="82"/>
        <v>15043</v>
      </c>
      <c r="V170" s="188">
        <f t="shared" si="83"/>
        <v>11437</v>
      </c>
      <c r="W170" s="188">
        <f t="shared" si="84"/>
        <v>8946</v>
      </c>
      <c r="X170" s="188">
        <f t="shared" si="85"/>
        <v>6720</v>
      </c>
      <c r="Y170" s="188">
        <f t="shared" si="86"/>
        <v>0</v>
      </c>
    </row>
    <row r="171" spans="1:25" ht="14" x14ac:dyDescent="0.2">
      <c r="A171" s="341">
        <v>64</v>
      </c>
      <c r="B171" s="340">
        <v>64</v>
      </c>
      <c r="C171" s="338">
        <f t="shared" si="79"/>
        <v>16991</v>
      </c>
      <c r="D171" s="190">
        <f t="shared" si="71"/>
        <v>17643</v>
      </c>
      <c r="E171" s="190">
        <f t="shared" si="72"/>
        <v>16049</v>
      </c>
      <c r="F171" s="190">
        <f t="shared" si="73"/>
        <v>12357</v>
      </c>
      <c r="G171" s="190">
        <f t="shared" si="74"/>
        <v>9757</v>
      </c>
      <c r="H171" s="190">
        <f t="shared" si="75"/>
        <v>7327</v>
      </c>
      <c r="I171" s="190">
        <f t="shared" si="76"/>
        <v>0</v>
      </c>
      <c r="K171" s="186">
        <f>IF('INGRESO DE DATOS'!$W$19=1,'Tablas Guyanas y Santa Elena'!C168,'Tablas Resto de Ecuador'!C168)</f>
        <v>16991</v>
      </c>
      <c r="L171" s="186">
        <f>IF('INGRESO DE DATOS'!$W$19=1,'Tablas Guyanas y Santa Elena'!D168,'Tablas Resto de Ecuador'!D168)</f>
        <v>17643</v>
      </c>
      <c r="M171" s="186">
        <f>IF('INGRESO DE DATOS'!$W$19=1,'Tablas Guyanas y Santa Elena'!E168,'Tablas Resto de Ecuador'!E168)</f>
        <v>16049</v>
      </c>
      <c r="N171" s="186">
        <f>IF('INGRESO DE DATOS'!$W$19=1,'Tablas Guyanas y Santa Elena'!F168,'Tablas Resto de Ecuador'!F168)</f>
        <v>12357</v>
      </c>
      <c r="O171" s="186">
        <f>IF('INGRESO DE DATOS'!$W$19=1,'Tablas Guyanas y Santa Elena'!G168,'Tablas Resto de Ecuador'!G168)</f>
        <v>9757</v>
      </c>
      <c r="P171" s="186">
        <f>IF('INGRESO DE DATOS'!$W$19=1,'Tablas Guyanas y Santa Elena'!H168,'Tablas Resto de Ecuador'!H168)</f>
        <v>7327</v>
      </c>
      <c r="Q171" s="186">
        <f>IF('INGRESO DE DATOS'!$W$19=1,'Tablas Guyanas y Santa Elena'!I168,'Tablas Resto de Ecuador'!I168)</f>
        <v>0</v>
      </c>
      <c r="S171" s="188">
        <f t="shared" si="80"/>
        <v>16991</v>
      </c>
      <c r="T171" s="188">
        <f t="shared" si="81"/>
        <v>17643</v>
      </c>
      <c r="U171" s="188">
        <f t="shared" si="82"/>
        <v>16049</v>
      </c>
      <c r="V171" s="188">
        <f t="shared" si="83"/>
        <v>12357</v>
      </c>
      <c r="W171" s="188">
        <f t="shared" si="84"/>
        <v>9757</v>
      </c>
      <c r="X171" s="188">
        <f t="shared" si="85"/>
        <v>7327</v>
      </c>
      <c r="Y171" s="188">
        <f t="shared" si="86"/>
        <v>0</v>
      </c>
    </row>
    <row r="172" spans="1:25" ht="14" x14ac:dyDescent="0.2">
      <c r="A172" s="341">
        <v>65</v>
      </c>
      <c r="B172" s="340">
        <v>65</v>
      </c>
      <c r="C172" s="338">
        <f t="shared" si="79"/>
        <v>18012</v>
      </c>
      <c r="D172" s="190">
        <f t="shared" si="71"/>
        <v>18711</v>
      </c>
      <c r="E172" s="190">
        <f t="shared" si="72"/>
        <v>17093</v>
      </c>
      <c r="F172" s="190">
        <f t="shared" si="73"/>
        <v>13369</v>
      </c>
      <c r="G172" s="190">
        <f t="shared" si="74"/>
        <v>9812</v>
      </c>
      <c r="H172" s="190">
        <f t="shared" si="75"/>
        <v>7356</v>
      </c>
      <c r="I172" s="190">
        <f t="shared" si="76"/>
        <v>0</v>
      </c>
      <c r="K172" s="186">
        <f>IF('INGRESO DE DATOS'!$W$19=1,'Tablas Guyanas y Santa Elena'!C169,'Tablas Resto de Ecuador'!C169)</f>
        <v>18012</v>
      </c>
      <c r="L172" s="186">
        <f>IF('INGRESO DE DATOS'!$W$19=1,'Tablas Guyanas y Santa Elena'!D169,'Tablas Resto de Ecuador'!D169)</f>
        <v>18711</v>
      </c>
      <c r="M172" s="186">
        <f>IF('INGRESO DE DATOS'!$W$19=1,'Tablas Guyanas y Santa Elena'!E169,'Tablas Resto de Ecuador'!E169)</f>
        <v>17093</v>
      </c>
      <c r="N172" s="186">
        <f>IF('INGRESO DE DATOS'!$W$19=1,'Tablas Guyanas y Santa Elena'!F169,'Tablas Resto de Ecuador'!F169)</f>
        <v>13369</v>
      </c>
      <c r="O172" s="186">
        <f>IF('INGRESO DE DATOS'!$W$19=1,'Tablas Guyanas y Santa Elena'!G169,'Tablas Resto de Ecuador'!G169)</f>
        <v>9812</v>
      </c>
      <c r="P172" s="186">
        <f>IF('INGRESO DE DATOS'!$W$19=1,'Tablas Guyanas y Santa Elena'!H169,'Tablas Resto de Ecuador'!H169)</f>
        <v>7356</v>
      </c>
      <c r="Q172" s="186">
        <f>IF('INGRESO DE DATOS'!$W$19=1,'Tablas Guyanas y Santa Elena'!I169,'Tablas Resto de Ecuador'!I169)</f>
        <v>0</v>
      </c>
      <c r="S172" s="188">
        <f t="shared" si="80"/>
        <v>18012</v>
      </c>
      <c r="T172" s="188">
        <f t="shared" si="81"/>
        <v>18711</v>
      </c>
      <c r="U172" s="188">
        <f t="shared" si="82"/>
        <v>17093</v>
      </c>
      <c r="V172" s="188">
        <f t="shared" si="83"/>
        <v>13369</v>
      </c>
      <c r="W172" s="188">
        <f t="shared" si="84"/>
        <v>9812</v>
      </c>
      <c r="X172" s="188">
        <f t="shared" si="85"/>
        <v>7356</v>
      </c>
      <c r="Y172" s="188">
        <f t="shared" si="86"/>
        <v>0</v>
      </c>
    </row>
    <row r="173" spans="1:25" ht="14" x14ac:dyDescent="0.2">
      <c r="A173" s="341">
        <v>66</v>
      </c>
      <c r="B173" s="340">
        <v>66</v>
      </c>
      <c r="C173" s="338">
        <f t="shared" si="79"/>
        <v>19134</v>
      </c>
      <c r="D173" s="190">
        <f t="shared" si="71"/>
        <v>19886</v>
      </c>
      <c r="E173" s="190">
        <f t="shared" si="72"/>
        <v>18259</v>
      </c>
      <c r="F173" s="190">
        <f t="shared" si="73"/>
        <v>14339</v>
      </c>
      <c r="G173" s="190">
        <f t="shared" si="74"/>
        <v>9857</v>
      </c>
      <c r="H173" s="190">
        <f t="shared" si="75"/>
        <v>7367</v>
      </c>
      <c r="I173" s="190">
        <f t="shared" si="76"/>
        <v>0</v>
      </c>
      <c r="K173" s="186">
        <f>IF('INGRESO DE DATOS'!$W$19=1,'Tablas Guyanas y Santa Elena'!C170,'Tablas Resto de Ecuador'!C170)</f>
        <v>19134</v>
      </c>
      <c r="L173" s="186">
        <f>IF('INGRESO DE DATOS'!$W$19=1,'Tablas Guyanas y Santa Elena'!D170,'Tablas Resto de Ecuador'!D170)</f>
        <v>19886</v>
      </c>
      <c r="M173" s="186">
        <f>IF('INGRESO DE DATOS'!$W$19=1,'Tablas Guyanas y Santa Elena'!E170,'Tablas Resto de Ecuador'!E170)</f>
        <v>18259</v>
      </c>
      <c r="N173" s="186">
        <f>IF('INGRESO DE DATOS'!$W$19=1,'Tablas Guyanas y Santa Elena'!F170,'Tablas Resto de Ecuador'!F170)</f>
        <v>14339</v>
      </c>
      <c r="O173" s="186">
        <f>IF('INGRESO DE DATOS'!$W$19=1,'Tablas Guyanas y Santa Elena'!G170,'Tablas Resto de Ecuador'!G170)</f>
        <v>9857</v>
      </c>
      <c r="P173" s="186">
        <f>IF('INGRESO DE DATOS'!$W$19=1,'Tablas Guyanas y Santa Elena'!H170,'Tablas Resto de Ecuador'!H170)</f>
        <v>7367</v>
      </c>
      <c r="Q173" s="186">
        <f>IF('INGRESO DE DATOS'!$W$19=1,'Tablas Guyanas y Santa Elena'!I170,'Tablas Resto de Ecuador'!I170)</f>
        <v>0</v>
      </c>
      <c r="S173" s="188">
        <f t="shared" si="80"/>
        <v>19134</v>
      </c>
      <c r="T173" s="188">
        <f t="shared" si="81"/>
        <v>19886</v>
      </c>
      <c r="U173" s="188">
        <f t="shared" si="82"/>
        <v>18259</v>
      </c>
      <c r="V173" s="188">
        <f t="shared" si="83"/>
        <v>14339</v>
      </c>
      <c r="W173" s="188">
        <f t="shared" si="84"/>
        <v>9857</v>
      </c>
      <c r="X173" s="188">
        <f t="shared" si="85"/>
        <v>7367</v>
      </c>
      <c r="Y173" s="188">
        <f t="shared" si="86"/>
        <v>0</v>
      </c>
    </row>
    <row r="174" spans="1:25" ht="14" x14ac:dyDescent="0.2">
      <c r="A174" s="341">
        <v>67</v>
      </c>
      <c r="B174" s="340">
        <v>67</v>
      </c>
      <c r="C174" s="338">
        <f t="shared" si="79"/>
        <v>20471</v>
      </c>
      <c r="D174" s="190">
        <f t="shared" si="71"/>
        <v>21287</v>
      </c>
      <c r="E174" s="190">
        <f t="shared" si="72"/>
        <v>19624</v>
      </c>
      <c r="F174" s="190">
        <f t="shared" si="73"/>
        <v>15787</v>
      </c>
      <c r="G174" s="190">
        <f t="shared" si="74"/>
        <v>10957</v>
      </c>
      <c r="H174" s="190">
        <f t="shared" si="75"/>
        <v>8191</v>
      </c>
      <c r="I174" s="190">
        <f t="shared" si="76"/>
        <v>0</v>
      </c>
      <c r="K174" s="186">
        <f>IF('INGRESO DE DATOS'!$W$19=1,'Tablas Guyanas y Santa Elena'!C171,'Tablas Resto de Ecuador'!C171)</f>
        <v>20471</v>
      </c>
      <c r="L174" s="186">
        <f>IF('INGRESO DE DATOS'!$W$19=1,'Tablas Guyanas y Santa Elena'!D171,'Tablas Resto de Ecuador'!D171)</f>
        <v>21287</v>
      </c>
      <c r="M174" s="186">
        <f>IF('INGRESO DE DATOS'!$W$19=1,'Tablas Guyanas y Santa Elena'!E171,'Tablas Resto de Ecuador'!E171)</f>
        <v>19624</v>
      </c>
      <c r="N174" s="186">
        <f>IF('INGRESO DE DATOS'!$W$19=1,'Tablas Guyanas y Santa Elena'!F171,'Tablas Resto de Ecuador'!F171)</f>
        <v>15787</v>
      </c>
      <c r="O174" s="186">
        <f>IF('INGRESO DE DATOS'!$W$19=1,'Tablas Guyanas y Santa Elena'!G171,'Tablas Resto de Ecuador'!G171)</f>
        <v>10957</v>
      </c>
      <c r="P174" s="186">
        <f>IF('INGRESO DE DATOS'!$W$19=1,'Tablas Guyanas y Santa Elena'!H171,'Tablas Resto de Ecuador'!H171)</f>
        <v>8191</v>
      </c>
      <c r="Q174" s="186">
        <f>IF('INGRESO DE DATOS'!$W$19=1,'Tablas Guyanas y Santa Elena'!I171,'Tablas Resto de Ecuador'!I171)</f>
        <v>0</v>
      </c>
      <c r="S174" s="188">
        <f t="shared" si="80"/>
        <v>20471</v>
      </c>
      <c r="T174" s="188">
        <f t="shared" si="81"/>
        <v>21287</v>
      </c>
      <c r="U174" s="188">
        <f t="shared" si="82"/>
        <v>19624</v>
      </c>
      <c r="V174" s="188">
        <f t="shared" si="83"/>
        <v>15787</v>
      </c>
      <c r="W174" s="188">
        <f t="shared" si="84"/>
        <v>10957</v>
      </c>
      <c r="X174" s="188">
        <f t="shared" si="85"/>
        <v>8191</v>
      </c>
      <c r="Y174" s="188">
        <f t="shared" si="86"/>
        <v>0</v>
      </c>
    </row>
    <row r="175" spans="1:25" ht="14" x14ac:dyDescent="0.2">
      <c r="A175" s="341">
        <v>68</v>
      </c>
      <c r="B175" s="340">
        <v>68</v>
      </c>
      <c r="C175" s="338">
        <f t="shared" si="79"/>
        <v>22141</v>
      </c>
      <c r="D175" s="190">
        <f t="shared" si="71"/>
        <v>23034</v>
      </c>
      <c r="E175" s="190">
        <f t="shared" si="72"/>
        <v>21277</v>
      </c>
      <c r="F175" s="190">
        <f t="shared" si="73"/>
        <v>17251</v>
      </c>
      <c r="G175" s="190">
        <f t="shared" si="74"/>
        <v>12046</v>
      </c>
      <c r="H175" s="190">
        <f t="shared" si="75"/>
        <v>9010</v>
      </c>
      <c r="I175" s="190">
        <f t="shared" si="76"/>
        <v>0</v>
      </c>
      <c r="K175" s="186">
        <f>IF('INGRESO DE DATOS'!$W$19=1,'Tablas Guyanas y Santa Elena'!C172,'Tablas Resto de Ecuador'!C172)</f>
        <v>22141</v>
      </c>
      <c r="L175" s="186">
        <f>IF('INGRESO DE DATOS'!$W$19=1,'Tablas Guyanas y Santa Elena'!D172,'Tablas Resto de Ecuador'!D172)</f>
        <v>23034</v>
      </c>
      <c r="M175" s="186">
        <f>IF('INGRESO DE DATOS'!$W$19=1,'Tablas Guyanas y Santa Elena'!E172,'Tablas Resto de Ecuador'!E172)</f>
        <v>21277</v>
      </c>
      <c r="N175" s="186">
        <f>IF('INGRESO DE DATOS'!$W$19=1,'Tablas Guyanas y Santa Elena'!F172,'Tablas Resto de Ecuador'!F172)</f>
        <v>17251</v>
      </c>
      <c r="O175" s="186">
        <f>IF('INGRESO DE DATOS'!$W$19=1,'Tablas Guyanas y Santa Elena'!G172,'Tablas Resto de Ecuador'!G172)</f>
        <v>12046</v>
      </c>
      <c r="P175" s="186">
        <f>IF('INGRESO DE DATOS'!$W$19=1,'Tablas Guyanas y Santa Elena'!H172,'Tablas Resto de Ecuador'!H172)</f>
        <v>9010</v>
      </c>
      <c r="Q175" s="186">
        <f>IF('INGRESO DE DATOS'!$W$19=1,'Tablas Guyanas y Santa Elena'!I172,'Tablas Resto de Ecuador'!I172)</f>
        <v>0</v>
      </c>
      <c r="S175" s="188">
        <f t="shared" si="80"/>
        <v>22141</v>
      </c>
      <c r="T175" s="188">
        <f t="shared" si="81"/>
        <v>23034</v>
      </c>
      <c r="U175" s="188">
        <f t="shared" si="82"/>
        <v>21277</v>
      </c>
      <c r="V175" s="188">
        <f t="shared" si="83"/>
        <v>17251</v>
      </c>
      <c r="W175" s="188">
        <f t="shared" si="84"/>
        <v>12046</v>
      </c>
      <c r="X175" s="188">
        <f t="shared" si="85"/>
        <v>9010</v>
      </c>
      <c r="Y175" s="188">
        <f t="shared" si="86"/>
        <v>0</v>
      </c>
    </row>
    <row r="176" spans="1:25" ht="14" x14ac:dyDescent="0.2">
      <c r="A176" s="341">
        <v>69</v>
      </c>
      <c r="B176" s="340">
        <v>69</v>
      </c>
      <c r="C176" s="338">
        <f t="shared" si="79"/>
        <v>24246</v>
      </c>
      <c r="D176" s="190">
        <f t="shared" si="71"/>
        <v>25239</v>
      </c>
      <c r="E176" s="190">
        <f t="shared" si="72"/>
        <v>23305</v>
      </c>
      <c r="F176" s="190">
        <f t="shared" si="73"/>
        <v>18306</v>
      </c>
      <c r="G176" s="190">
        <f t="shared" si="74"/>
        <v>12576</v>
      </c>
      <c r="H176" s="190">
        <f t="shared" si="75"/>
        <v>9423</v>
      </c>
      <c r="I176" s="190">
        <f t="shared" si="76"/>
        <v>0</v>
      </c>
      <c r="K176" s="186">
        <f>IF('INGRESO DE DATOS'!$W$19=1,'Tablas Guyanas y Santa Elena'!C173,'Tablas Resto de Ecuador'!C173)</f>
        <v>24246</v>
      </c>
      <c r="L176" s="186">
        <f>IF('INGRESO DE DATOS'!$W$19=1,'Tablas Guyanas y Santa Elena'!D173,'Tablas Resto de Ecuador'!D173)</f>
        <v>25239</v>
      </c>
      <c r="M176" s="186">
        <f>IF('INGRESO DE DATOS'!$W$19=1,'Tablas Guyanas y Santa Elena'!E173,'Tablas Resto de Ecuador'!E173)</f>
        <v>23305</v>
      </c>
      <c r="N176" s="186">
        <f>IF('INGRESO DE DATOS'!$W$19=1,'Tablas Guyanas y Santa Elena'!F173,'Tablas Resto de Ecuador'!F173)</f>
        <v>18306</v>
      </c>
      <c r="O176" s="186">
        <f>IF('INGRESO DE DATOS'!$W$19=1,'Tablas Guyanas y Santa Elena'!G173,'Tablas Resto de Ecuador'!G173)</f>
        <v>12576</v>
      </c>
      <c r="P176" s="186">
        <f>IF('INGRESO DE DATOS'!$W$19=1,'Tablas Guyanas y Santa Elena'!H173,'Tablas Resto de Ecuador'!H173)</f>
        <v>9423</v>
      </c>
      <c r="Q176" s="186">
        <f>IF('INGRESO DE DATOS'!$W$19=1,'Tablas Guyanas y Santa Elena'!I173,'Tablas Resto de Ecuador'!I173)</f>
        <v>0</v>
      </c>
      <c r="S176" s="188">
        <f t="shared" si="80"/>
        <v>24246</v>
      </c>
      <c r="T176" s="188">
        <f t="shared" si="81"/>
        <v>25239</v>
      </c>
      <c r="U176" s="188">
        <f t="shared" si="82"/>
        <v>23305</v>
      </c>
      <c r="V176" s="188">
        <f t="shared" si="83"/>
        <v>18306</v>
      </c>
      <c r="W176" s="188">
        <f t="shared" si="84"/>
        <v>12576</v>
      </c>
      <c r="X176" s="188">
        <f t="shared" si="85"/>
        <v>9423</v>
      </c>
      <c r="Y176" s="188">
        <f t="shared" si="86"/>
        <v>0</v>
      </c>
    </row>
    <row r="177" spans="1:25" ht="14" x14ac:dyDescent="0.2">
      <c r="A177" s="341">
        <v>70</v>
      </c>
      <c r="B177" s="340">
        <v>70</v>
      </c>
      <c r="C177" s="338">
        <f t="shared" si="79"/>
        <v>26707</v>
      </c>
      <c r="D177" s="190">
        <f t="shared" si="71"/>
        <v>27816</v>
      </c>
      <c r="E177" s="190">
        <f t="shared" si="72"/>
        <v>25655</v>
      </c>
      <c r="F177" s="190">
        <f t="shared" si="73"/>
        <v>18500</v>
      </c>
      <c r="G177" s="190">
        <f t="shared" si="74"/>
        <v>12713</v>
      </c>
      <c r="H177" s="190">
        <f t="shared" si="75"/>
        <v>9471</v>
      </c>
      <c r="I177" s="190">
        <f t="shared" si="76"/>
        <v>0</v>
      </c>
      <c r="K177" s="186">
        <f>IF('INGRESO DE DATOS'!$W$19=1,'Tablas Guyanas y Santa Elena'!C174,'Tablas Resto de Ecuador'!C174)</f>
        <v>26707</v>
      </c>
      <c r="L177" s="186">
        <f>IF('INGRESO DE DATOS'!$W$19=1,'Tablas Guyanas y Santa Elena'!D174,'Tablas Resto de Ecuador'!D174)</f>
        <v>27816</v>
      </c>
      <c r="M177" s="186">
        <f>IF('INGRESO DE DATOS'!$W$19=1,'Tablas Guyanas y Santa Elena'!E174,'Tablas Resto de Ecuador'!E174)</f>
        <v>25655</v>
      </c>
      <c r="N177" s="186">
        <f>IF('INGRESO DE DATOS'!$W$19=1,'Tablas Guyanas y Santa Elena'!F174,'Tablas Resto de Ecuador'!F174)</f>
        <v>18500</v>
      </c>
      <c r="O177" s="186">
        <f>IF('INGRESO DE DATOS'!$W$19=1,'Tablas Guyanas y Santa Elena'!G174,'Tablas Resto de Ecuador'!G174)</f>
        <v>12713</v>
      </c>
      <c r="P177" s="186">
        <f>IF('INGRESO DE DATOS'!$W$19=1,'Tablas Guyanas y Santa Elena'!H174,'Tablas Resto de Ecuador'!H174)</f>
        <v>9471</v>
      </c>
      <c r="Q177" s="186">
        <f>IF('INGRESO DE DATOS'!$W$19=1,'Tablas Guyanas y Santa Elena'!I174,'Tablas Resto de Ecuador'!I174)</f>
        <v>0</v>
      </c>
      <c r="S177" s="188">
        <f t="shared" si="80"/>
        <v>26707</v>
      </c>
      <c r="T177" s="188">
        <f t="shared" si="81"/>
        <v>27816</v>
      </c>
      <c r="U177" s="188">
        <f t="shared" si="82"/>
        <v>25655</v>
      </c>
      <c r="V177" s="188">
        <f t="shared" si="83"/>
        <v>18500</v>
      </c>
      <c r="W177" s="188">
        <f t="shared" si="84"/>
        <v>12713</v>
      </c>
      <c r="X177" s="188">
        <f t="shared" si="85"/>
        <v>9471</v>
      </c>
      <c r="Y177" s="188">
        <f t="shared" si="86"/>
        <v>0</v>
      </c>
    </row>
    <row r="178" spans="1:25" ht="14" x14ac:dyDescent="0.2">
      <c r="A178" s="341">
        <v>71</v>
      </c>
      <c r="B178" s="340">
        <v>71</v>
      </c>
      <c r="C178" s="338">
        <f t="shared" si="79"/>
        <v>29374</v>
      </c>
      <c r="D178" s="190">
        <f t="shared" si="71"/>
        <v>30608</v>
      </c>
      <c r="E178" s="190">
        <f t="shared" si="72"/>
        <v>28188</v>
      </c>
      <c r="F178" s="190">
        <f t="shared" si="73"/>
        <v>20803</v>
      </c>
      <c r="G178" s="190">
        <f t="shared" si="74"/>
        <v>14293</v>
      </c>
      <c r="H178" s="190">
        <f t="shared" si="75"/>
        <v>10645</v>
      </c>
      <c r="I178" s="190">
        <f t="shared" si="76"/>
        <v>0</v>
      </c>
      <c r="K178" s="186">
        <f>IF('INGRESO DE DATOS'!$W$19=1,'Tablas Guyanas y Santa Elena'!C175,'Tablas Resto de Ecuador'!C175)</f>
        <v>29374</v>
      </c>
      <c r="L178" s="186">
        <f>IF('INGRESO DE DATOS'!$W$19=1,'Tablas Guyanas y Santa Elena'!D175,'Tablas Resto de Ecuador'!D175)</f>
        <v>30608</v>
      </c>
      <c r="M178" s="186">
        <f>IF('INGRESO DE DATOS'!$W$19=1,'Tablas Guyanas y Santa Elena'!E175,'Tablas Resto de Ecuador'!E175)</f>
        <v>28188</v>
      </c>
      <c r="N178" s="186">
        <f>IF('INGRESO DE DATOS'!$W$19=1,'Tablas Guyanas y Santa Elena'!F175,'Tablas Resto de Ecuador'!F175)</f>
        <v>20803</v>
      </c>
      <c r="O178" s="186">
        <f>IF('INGRESO DE DATOS'!$W$19=1,'Tablas Guyanas y Santa Elena'!G175,'Tablas Resto de Ecuador'!G175)</f>
        <v>14293</v>
      </c>
      <c r="P178" s="186">
        <f>IF('INGRESO DE DATOS'!$W$19=1,'Tablas Guyanas y Santa Elena'!H175,'Tablas Resto de Ecuador'!H175)</f>
        <v>10645</v>
      </c>
      <c r="Q178" s="186">
        <f>IF('INGRESO DE DATOS'!$W$19=1,'Tablas Guyanas y Santa Elena'!I175,'Tablas Resto de Ecuador'!I175)</f>
        <v>0</v>
      </c>
      <c r="S178" s="188">
        <f t="shared" si="80"/>
        <v>29374</v>
      </c>
      <c r="T178" s="188">
        <f t="shared" si="81"/>
        <v>30608</v>
      </c>
      <c r="U178" s="188">
        <f t="shared" si="82"/>
        <v>28188</v>
      </c>
      <c r="V178" s="188">
        <f t="shared" si="83"/>
        <v>20803</v>
      </c>
      <c r="W178" s="188">
        <f t="shared" si="84"/>
        <v>14293</v>
      </c>
      <c r="X178" s="188">
        <f t="shared" si="85"/>
        <v>10645</v>
      </c>
      <c r="Y178" s="188">
        <f t="shared" si="86"/>
        <v>0</v>
      </c>
    </row>
    <row r="179" spans="1:25" ht="14" x14ac:dyDescent="0.2">
      <c r="A179" s="341">
        <v>72</v>
      </c>
      <c r="B179" s="340">
        <v>72</v>
      </c>
      <c r="C179" s="338">
        <f t="shared" si="79"/>
        <v>32092</v>
      </c>
      <c r="D179" s="190">
        <f t="shared" si="71"/>
        <v>33454</v>
      </c>
      <c r="E179" s="190">
        <f t="shared" si="72"/>
        <v>30767</v>
      </c>
      <c r="F179" s="190">
        <f t="shared" si="73"/>
        <v>23110</v>
      </c>
      <c r="G179" s="190">
        <f t="shared" si="74"/>
        <v>15873</v>
      </c>
      <c r="H179" s="190">
        <f t="shared" si="75"/>
        <v>11830</v>
      </c>
      <c r="I179" s="190">
        <f t="shared" si="76"/>
        <v>0</v>
      </c>
      <c r="K179" s="186">
        <f>IF('INGRESO DE DATOS'!$W$19=1,'Tablas Guyanas y Santa Elena'!C176,'Tablas Resto de Ecuador'!C176)</f>
        <v>32092</v>
      </c>
      <c r="L179" s="186">
        <f>IF('INGRESO DE DATOS'!$W$19=1,'Tablas Guyanas y Santa Elena'!D176,'Tablas Resto de Ecuador'!D176)</f>
        <v>33454</v>
      </c>
      <c r="M179" s="186">
        <f>IF('INGRESO DE DATOS'!$W$19=1,'Tablas Guyanas y Santa Elena'!E176,'Tablas Resto de Ecuador'!E176)</f>
        <v>30767</v>
      </c>
      <c r="N179" s="186">
        <f>IF('INGRESO DE DATOS'!$W$19=1,'Tablas Guyanas y Santa Elena'!F176,'Tablas Resto de Ecuador'!F176)</f>
        <v>23110</v>
      </c>
      <c r="O179" s="186">
        <f>IF('INGRESO DE DATOS'!$W$19=1,'Tablas Guyanas y Santa Elena'!G176,'Tablas Resto de Ecuador'!G176)</f>
        <v>15873</v>
      </c>
      <c r="P179" s="186">
        <f>IF('INGRESO DE DATOS'!$W$19=1,'Tablas Guyanas y Santa Elena'!H176,'Tablas Resto de Ecuador'!H176)</f>
        <v>11830</v>
      </c>
      <c r="Q179" s="186">
        <f>IF('INGRESO DE DATOS'!$W$19=1,'Tablas Guyanas y Santa Elena'!I176,'Tablas Resto de Ecuador'!I176)</f>
        <v>0</v>
      </c>
      <c r="S179" s="188">
        <f t="shared" si="80"/>
        <v>32092</v>
      </c>
      <c r="T179" s="188">
        <f t="shared" si="81"/>
        <v>33454</v>
      </c>
      <c r="U179" s="188">
        <f t="shared" si="82"/>
        <v>30767</v>
      </c>
      <c r="V179" s="188">
        <f t="shared" si="83"/>
        <v>23110</v>
      </c>
      <c r="W179" s="188">
        <f t="shared" si="84"/>
        <v>15873</v>
      </c>
      <c r="X179" s="188">
        <f t="shared" si="85"/>
        <v>11830</v>
      </c>
      <c r="Y179" s="188">
        <f t="shared" si="86"/>
        <v>0</v>
      </c>
    </row>
    <row r="180" spans="1:25" ht="14" x14ac:dyDescent="0.2">
      <c r="A180" s="341">
        <v>73</v>
      </c>
      <c r="B180" s="340">
        <v>73</v>
      </c>
      <c r="C180" s="338">
        <f t="shared" si="79"/>
        <v>34707</v>
      </c>
      <c r="D180" s="190">
        <f t="shared" si="71"/>
        <v>36193</v>
      </c>
      <c r="E180" s="190">
        <f t="shared" si="72"/>
        <v>33257</v>
      </c>
      <c r="F180" s="190">
        <f t="shared" si="73"/>
        <v>25419</v>
      </c>
      <c r="G180" s="190">
        <f t="shared" si="74"/>
        <v>17462</v>
      </c>
      <c r="H180" s="190">
        <f t="shared" si="75"/>
        <v>13005</v>
      </c>
      <c r="I180" s="190">
        <f t="shared" si="76"/>
        <v>0</v>
      </c>
      <c r="K180" s="186">
        <f>IF('INGRESO DE DATOS'!$W$19=1,'Tablas Guyanas y Santa Elena'!C177,'Tablas Resto de Ecuador'!C177)</f>
        <v>34707</v>
      </c>
      <c r="L180" s="186">
        <f>IF('INGRESO DE DATOS'!$W$19=1,'Tablas Guyanas y Santa Elena'!D177,'Tablas Resto de Ecuador'!D177)</f>
        <v>36193</v>
      </c>
      <c r="M180" s="186">
        <f>IF('INGRESO DE DATOS'!$W$19=1,'Tablas Guyanas y Santa Elena'!E177,'Tablas Resto de Ecuador'!E177)</f>
        <v>33257</v>
      </c>
      <c r="N180" s="186">
        <f>IF('INGRESO DE DATOS'!$W$19=1,'Tablas Guyanas y Santa Elena'!F177,'Tablas Resto de Ecuador'!F177)</f>
        <v>25419</v>
      </c>
      <c r="O180" s="186">
        <f>IF('INGRESO DE DATOS'!$W$19=1,'Tablas Guyanas y Santa Elena'!G177,'Tablas Resto de Ecuador'!G177)</f>
        <v>17462</v>
      </c>
      <c r="P180" s="186">
        <f>IF('INGRESO DE DATOS'!$W$19=1,'Tablas Guyanas y Santa Elena'!H177,'Tablas Resto de Ecuador'!H177)</f>
        <v>13005</v>
      </c>
      <c r="Q180" s="186">
        <f>IF('INGRESO DE DATOS'!$W$19=1,'Tablas Guyanas y Santa Elena'!I177,'Tablas Resto de Ecuador'!I177)</f>
        <v>0</v>
      </c>
      <c r="S180" s="188">
        <f t="shared" si="80"/>
        <v>34707</v>
      </c>
      <c r="T180" s="188">
        <f t="shared" si="81"/>
        <v>36193</v>
      </c>
      <c r="U180" s="188">
        <f t="shared" si="82"/>
        <v>33257</v>
      </c>
      <c r="V180" s="188">
        <f t="shared" si="83"/>
        <v>25419</v>
      </c>
      <c r="W180" s="188">
        <f t="shared" si="84"/>
        <v>17462</v>
      </c>
      <c r="X180" s="188">
        <f t="shared" si="85"/>
        <v>13005</v>
      </c>
      <c r="Y180" s="188">
        <f t="shared" si="86"/>
        <v>0</v>
      </c>
    </row>
    <row r="181" spans="1:25" ht="14" x14ac:dyDescent="0.2">
      <c r="A181" s="341">
        <v>74</v>
      </c>
      <c r="B181" s="340">
        <v>74</v>
      </c>
      <c r="C181" s="338">
        <f t="shared" si="79"/>
        <v>37219</v>
      </c>
      <c r="D181" s="190">
        <f t="shared" si="71"/>
        <v>38823</v>
      </c>
      <c r="E181" s="190">
        <f t="shared" si="72"/>
        <v>35653</v>
      </c>
      <c r="F181" s="190">
        <f t="shared" si="73"/>
        <v>27726</v>
      </c>
      <c r="G181" s="190">
        <f t="shared" si="74"/>
        <v>19047</v>
      </c>
      <c r="H181" s="190">
        <f t="shared" si="75"/>
        <v>14188</v>
      </c>
      <c r="I181" s="190">
        <f t="shared" si="76"/>
        <v>0</v>
      </c>
      <c r="K181" s="186">
        <f>IF('INGRESO DE DATOS'!$W$19=1,'Tablas Guyanas y Santa Elena'!C178,'Tablas Resto de Ecuador'!C178)</f>
        <v>37219</v>
      </c>
      <c r="L181" s="186">
        <f>IF('INGRESO DE DATOS'!$W$19=1,'Tablas Guyanas y Santa Elena'!D178,'Tablas Resto de Ecuador'!D178)</f>
        <v>38823</v>
      </c>
      <c r="M181" s="186">
        <f>IF('INGRESO DE DATOS'!$W$19=1,'Tablas Guyanas y Santa Elena'!E178,'Tablas Resto de Ecuador'!E178)</f>
        <v>35653</v>
      </c>
      <c r="N181" s="186">
        <f>IF('INGRESO DE DATOS'!$W$19=1,'Tablas Guyanas y Santa Elena'!F178,'Tablas Resto de Ecuador'!F178)</f>
        <v>27726</v>
      </c>
      <c r="O181" s="186">
        <f>IF('INGRESO DE DATOS'!$W$19=1,'Tablas Guyanas y Santa Elena'!G178,'Tablas Resto de Ecuador'!G178)</f>
        <v>19047</v>
      </c>
      <c r="P181" s="186">
        <f>IF('INGRESO DE DATOS'!$W$19=1,'Tablas Guyanas y Santa Elena'!H178,'Tablas Resto de Ecuador'!H178)</f>
        <v>14188</v>
      </c>
      <c r="Q181" s="186">
        <f>IF('INGRESO DE DATOS'!$W$19=1,'Tablas Guyanas y Santa Elena'!I178,'Tablas Resto de Ecuador'!I178)</f>
        <v>0</v>
      </c>
      <c r="S181" s="188">
        <f t="shared" si="80"/>
        <v>37219</v>
      </c>
      <c r="T181" s="188">
        <f t="shared" si="81"/>
        <v>38823</v>
      </c>
      <c r="U181" s="188">
        <f t="shared" si="82"/>
        <v>35653</v>
      </c>
      <c r="V181" s="188">
        <f t="shared" si="83"/>
        <v>27726</v>
      </c>
      <c r="W181" s="188">
        <f t="shared" si="84"/>
        <v>19047</v>
      </c>
      <c r="X181" s="188">
        <f t="shared" si="85"/>
        <v>14188</v>
      </c>
      <c r="Y181" s="188">
        <f t="shared" si="86"/>
        <v>0</v>
      </c>
    </row>
    <row r="182" spans="1:25" s="49" customFormat="1" ht="14" x14ac:dyDescent="0.2">
      <c r="A182" s="341">
        <v>75</v>
      </c>
      <c r="B182" s="340">
        <v>75</v>
      </c>
      <c r="C182" s="338">
        <f t="shared" si="79"/>
        <v>39732</v>
      </c>
      <c r="D182" s="190">
        <f t="shared" si="71"/>
        <v>41455</v>
      </c>
      <c r="E182" s="190">
        <f t="shared" si="72"/>
        <v>38048</v>
      </c>
      <c r="F182" s="190">
        <f t="shared" si="73"/>
        <v>30322</v>
      </c>
      <c r="G182" s="190">
        <f t="shared" si="74"/>
        <v>20830</v>
      </c>
      <c r="H182" s="190">
        <f t="shared" si="75"/>
        <v>15498</v>
      </c>
      <c r="I182" s="190">
        <f t="shared" si="76"/>
        <v>0</v>
      </c>
      <c r="K182" s="186">
        <f>IF('INGRESO DE DATOS'!$W$19=1,'Tablas Guyanas y Santa Elena'!C179,'Tablas Resto de Ecuador'!C179)</f>
        <v>39732</v>
      </c>
      <c r="L182" s="186">
        <f>IF('INGRESO DE DATOS'!$W$19=1,'Tablas Guyanas y Santa Elena'!D179,'Tablas Resto de Ecuador'!D179)</f>
        <v>41455</v>
      </c>
      <c r="M182" s="186">
        <f>IF('INGRESO DE DATOS'!$W$19=1,'Tablas Guyanas y Santa Elena'!E179,'Tablas Resto de Ecuador'!E179)</f>
        <v>38048</v>
      </c>
      <c r="N182" s="186">
        <f>IF('INGRESO DE DATOS'!$W$19=1,'Tablas Guyanas y Santa Elena'!F179,'Tablas Resto de Ecuador'!F179)</f>
        <v>30322</v>
      </c>
      <c r="O182" s="186">
        <f>IF('INGRESO DE DATOS'!$W$19=1,'Tablas Guyanas y Santa Elena'!G179,'Tablas Resto de Ecuador'!G179)</f>
        <v>20830</v>
      </c>
      <c r="P182" s="186">
        <f>IF('INGRESO DE DATOS'!$W$19=1,'Tablas Guyanas y Santa Elena'!H179,'Tablas Resto de Ecuador'!H179)</f>
        <v>15498</v>
      </c>
      <c r="Q182" s="186">
        <f>IF('INGRESO DE DATOS'!$W$19=1,'Tablas Guyanas y Santa Elena'!I179,'Tablas Resto de Ecuador'!I179)</f>
        <v>0</v>
      </c>
      <c r="S182" s="188">
        <f t="shared" si="80"/>
        <v>39732</v>
      </c>
      <c r="T182" s="188">
        <f t="shared" si="81"/>
        <v>41455</v>
      </c>
      <c r="U182" s="188">
        <f t="shared" si="82"/>
        <v>38048</v>
      </c>
      <c r="V182" s="188">
        <f t="shared" si="83"/>
        <v>30322</v>
      </c>
      <c r="W182" s="188">
        <f t="shared" si="84"/>
        <v>20830</v>
      </c>
      <c r="X182" s="188">
        <f t="shared" si="85"/>
        <v>15498</v>
      </c>
      <c r="Y182" s="188">
        <f t="shared" si="86"/>
        <v>0</v>
      </c>
    </row>
    <row r="183" spans="1:25" ht="14" x14ac:dyDescent="0.2">
      <c r="A183" s="353">
        <v>1</v>
      </c>
      <c r="B183" s="354" t="s">
        <v>135</v>
      </c>
      <c r="C183" s="355">
        <f t="shared" ref="C183:C185" si="87">S183*$AD$2</f>
        <v>1762</v>
      </c>
      <c r="D183" s="356">
        <f t="shared" ref="D183:D185" si="88">T183*$AD$2</f>
        <v>1751</v>
      </c>
      <c r="E183" s="356">
        <f t="shared" ref="E183:E185" si="89">U183*$AD$2</f>
        <v>1670</v>
      </c>
      <c r="F183" s="356">
        <f t="shared" ref="F183:F185" si="90">V183*$AD$2</f>
        <v>1209</v>
      </c>
      <c r="G183" s="356">
        <f t="shared" ref="G183:G185" si="91">W183*$AD$2</f>
        <v>983</v>
      </c>
      <c r="H183" s="356">
        <f t="shared" ref="H183:H185" si="92">X183*$AD$2</f>
        <v>739</v>
      </c>
      <c r="I183" s="356">
        <f t="shared" ref="I183:I185" si="93">Y183*$AD$2</f>
        <v>0</v>
      </c>
      <c r="K183" s="357">
        <f>IF('INGRESO DE DATOS'!$W$19=1,'Tablas Guyanas y Santa Elena'!C180,'Tablas Resto de Ecuador'!C180)</f>
        <v>1762</v>
      </c>
      <c r="L183" s="357">
        <f>IF('INGRESO DE DATOS'!$W$19=1,'Tablas Guyanas y Santa Elena'!D180,'Tablas Resto de Ecuador'!D180)</f>
        <v>1751</v>
      </c>
      <c r="M183" s="357">
        <f>IF('INGRESO DE DATOS'!$W$19=1,'Tablas Guyanas y Santa Elena'!E180,'Tablas Resto de Ecuador'!E180)</f>
        <v>1670</v>
      </c>
      <c r="N183" s="357">
        <f>IF('INGRESO DE DATOS'!$W$19=1,'Tablas Guyanas y Santa Elena'!F180,'Tablas Resto de Ecuador'!F180)</f>
        <v>1209</v>
      </c>
      <c r="O183" s="357">
        <f>IF('INGRESO DE DATOS'!$W$19=1,'Tablas Guyanas y Santa Elena'!G180,'Tablas Resto de Ecuador'!G180)</f>
        <v>983</v>
      </c>
      <c r="P183" s="186">
        <f>IF('INGRESO DE DATOS'!$W$19=1,'Tablas Guyanas y Santa Elena'!H180,'Tablas Resto de Ecuador'!H180)</f>
        <v>739</v>
      </c>
      <c r="Q183" s="357">
        <f>IF('INGRESO DE DATOS'!$W$19=1,'Tablas Guyanas y Santa Elena'!I180,'Tablas Resto de Ecuador'!I223)</f>
        <v>0</v>
      </c>
      <c r="S183" s="358">
        <f>K183*$S$4</f>
        <v>1762</v>
      </c>
      <c r="T183" s="358">
        <f t="shared" ref="T183:X183" si="94">L183*$S$4</f>
        <v>1751</v>
      </c>
      <c r="U183" s="358">
        <f t="shared" si="94"/>
        <v>1670</v>
      </c>
      <c r="V183" s="358">
        <f t="shared" si="94"/>
        <v>1209</v>
      </c>
      <c r="W183" s="358">
        <f t="shared" si="94"/>
        <v>983</v>
      </c>
      <c r="X183" s="358">
        <f t="shared" si="94"/>
        <v>739</v>
      </c>
      <c r="Y183" s="358">
        <f t="shared" ref="Y183:Y185" si="95">Q183*$U$4</f>
        <v>0</v>
      </c>
    </row>
    <row r="184" spans="1:25" ht="14" x14ac:dyDescent="0.2">
      <c r="A184" s="189">
        <v>2</v>
      </c>
      <c r="B184" s="187" t="s">
        <v>136</v>
      </c>
      <c r="C184" s="190">
        <f t="shared" si="87"/>
        <v>3211</v>
      </c>
      <c r="D184" s="190">
        <f t="shared" si="88"/>
        <v>3361</v>
      </c>
      <c r="E184" s="190">
        <f t="shared" si="89"/>
        <v>2726</v>
      </c>
      <c r="F184" s="190">
        <f t="shared" si="90"/>
        <v>2281</v>
      </c>
      <c r="G184" s="190">
        <f t="shared" si="91"/>
        <v>1565</v>
      </c>
      <c r="H184" s="190">
        <f t="shared" si="92"/>
        <v>1328</v>
      </c>
      <c r="I184" s="190">
        <f t="shared" si="93"/>
        <v>0</v>
      </c>
      <c r="K184" s="186">
        <f>IF('INGRESO DE DATOS'!$W$19=1,'Tablas Guyanas y Santa Elena'!C181,'Tablas Resto de Ecuador'!C181)</f>
        <v>3211</v>
      </c>
      <c r="L184" s="186">
        <f>IF('INGRESO DE DATOS'!$W$19=1,'Tablas Guyanas y Santa Elena'!D181,'Tablas Resto de Ecuador'!D181)</f>
        <v>3361</v>
      </c>
      <c r="M184" s="186">
        <f>IF('INGRESO DE DATOS'!$W$19=1,'Tablas Guyanas y Santa Elena'!E181,'Tablas Resto de Ecuador'!E181)</f>
        <v>2726</v>
      </c>
      <c r="N184" s="186">
        <f>IF('INGRESO DE DATOS'!$W$19=1,'Tablas Guyanas y Santa Elena'!F181,'Tablas Resto de Ecuador'!F181)</f>
        <v>2281</v>
      </c>
      <c r="O184" s="186">
        <f>IF('INGRESO DE DATOS'!$W$19=1,'Tablas Guyanas y Santa Elena'!G181,'Tablas Resto de Ecuador'!G181)</f>
        <v>1565</v>
      </c>
      <c r="P184" s="186">
        <f>IF('INGRESO DE DATOS'!$W$19=1,'Tablas Guyanas y Santa Elena'!H181,'Tablas Resto de Ecuador'!H181)</f>
        <v>1328</v>
      </c>
      <c r="Q184" s="186">
        <f>IF('INGRESO DE DATOS'!$W$19=1,'Tablas Guyanas y Santa Elena'!I181,'Tablas Resto de Ecuador'!I224)</f>
        <v>0</v>
      </c>
      <c r="S184" s="358">
        <f t="shared" ref="S184:S185" si="96">K184*$S$4</f>
        <v>3211</v>
      </c>
      <c r="T184" s="358">
        <f t="shared" ref="T184:T185" si="97">L184*$S$4</f>
        <v>3361</v>
      </c>
      <c r="U184" s="358">
        <f t="shared" ref="U184:U185" si="98">M184*$S$4</f>
        <v>2726</v>
      </c>
      <c r="V184" s="358">
        <f t="shared" ref="V184:V185" si="99">N184*$S$4</f>
        <v>2281</v>
      </c>
      <c r="W184" s="358">
        <f t="shared" ref="W184:W185" si="100">O184*$S$4</f>
        <v>1565</v>
      </c>
      <c r="X184" s="358">
        <f t="shared" ref="X184:X185" si="101">P184*$S$4</f>
        <v>1328</v>
      </c>
      <c r="Y184" s="188">
        <f t="shared" si="95"/>
        <v>0</v>
      </c>
    </row>
    <row r="185" spans="1:25" ht="14" x14ac:dyDescent="0.2">
      <c r="A185" s="189">
        <v>3</v>
      </c>
      <c r="B185" s="187" t="s">
        <v>137</v>
      </c>
      <c r="C185" s="190">
        <f t="shared" si="87"/>
        <v>4595</v>
      </c>
      <c r="D185" s="190">
        <f t="shared" si="88"/>
        <v>4810</v>
      </c>
      <c r="E185" s="190">
        <f t="shared" si="89"/>
        <v>3914</v>
      </c>
      <c r="F185" s="190">
        <f t="shared" si="90"/>
        <v>3310</v>
      </c>
      <c r="G185" s="190">
        <f t="shared" si="91"/>
        <v>2272</v>
      </c>
      <c r="H185" s="190">
        <f t="shared" si="92"/>
        <v>1990</v>
      </c>
      <c r="I185" s="190">
        <f t="shared" si="93"/>
        <v>0</v>
      </c>
      <c r="K185" s="186">
        <f>IF('INGRESO DE DATOS'!$W$19=1,'Tablas Guyanas y Santa Elena'!C182,'Tablas Resto de Ecuador'!C182)</f>
        <v>4595</v>
      </c>
      <c r="L185" s="186">
        <f>IF('INGRESO DE DATOS'!$W$19=1,'Tablas Guyanas y Santa Elena'!D182,'Tablas Resto de Ecuador'!D182)</f>
        <v>4810</v>
      </c>
      <c r="M185" s="186">
        <f>IF('INGRESO DE DATOS'!$W$19=1,'Tablas Guyanas y Santa Elena'!E182,'Tablas Resto de Ecuador'!E182)</f>
        <v>3914</v>
      </c>
      <c r="N185" s="186">
        <f>IF('INGRESO DE DATOS'!$W$19=1,'Tablas Guyanas y Santa Elena'!F182,'Tablas Resto de Ecuador'!F182)</f>
        <v>3310</v>
      </c>
      <c r="O185" s="186">
        <f>IF('INGRESO DE DATOS'!$W$19=1,'Tablas Guyanas y Santa Elena'!G182,'Tablas Resto de Ecuador'!G182)</f>
        <v>2272</v>
      </c>
      <c r="P185" s="186">
        <f>IF('INGRESO DE DATOS'!$W$19=1,'Tablas Guyanas y Santa Elena'!H182,'Tablas Resto de Ecuador'!H182)</f>
        <v>1990</v>
      </c>
      <c r="Q185" s="186">
        <f>IF('INGRESO DE DATOS'!$W$19=1,'Tablas Guyanas y Santa Elena'!I182,'Tablas Resto de Ecuador'!I225)</f>
        <v>0</v>
      </c>
      <c r="S185" s="358">
        <f t="shared" si="96"/>
        <v>4595</v>
      </c>
      <c r="T185" s="358">
        <f t="shared" si="97"/>
        <v>4810</v>
      </c>
      <c r="U185" s="358">
        <f t="shared" si="98"/>
        <v>3914</v>
      </c>
      <c r="V185" s="358">
        <f t="shared" si="99"/>
        <v>3310</v>
      </c>
      <c r="W185" s="358">
        <f t="shared" si="100"/>
        <v>2272</v>
      </c>
      <c r="X185" s="358">
        <f t="shared" si="101"/>
        <v>1990</v>
      </c>
      <c r="Y185" s="188">
        <f t="shared" si="95"/>
        <v>0</v>
      </c>
    </row>
    <row r="186" spans="1:25" ht="14" x14ac:dyDescent="0.2">
      <c r="A186" s="318">
        <v>1</v>
      </c>
      <c r="B186" s="322" t="s">
        <v>149</v>
      </c>
      <c r="C186" s="323">
        <v>225</v>
      </c>
      <c r="D186" s="323">
        <v>225</v>
      </c>
      <c r="E186" s="323">
        <v>225</v>
      </c>
      <c r="F186" s="323">
        <v>225</v>
      </c>
      <c r="G186" s="323">
        <v>225</v>
      </c>
      <c r="H186" s="324">
        <v>225</v>
      </c>
      <c r="J186" s="52"/>
      <c r="K186" s="249"/>
      <c r="L186" s="249"/>
      <c r="M186" s="249"/>
      <c r="N186" s="249"/>
      <c r="O186" s="249"/>
      <c r="P186" s="249"/>
      <c r="Q186" s="249"/>
      <c r="R186" s="52"/>
    </row>
    <row r="187" spans="1:25" x14ac:dyDescent="0.15">
      <c r="A187" s="320">
        <v>1</v>
      </c>
      <c r="B187" s="325" t="s">
        <v>150</v>
      </c>
      <c r="C187" s="326">
        <v>300</v>
      </c>
      <c r="D187" s="326">
        <v>300</v>
      </c>
      <c r="E187" s="326">
        <v>300</v>
      </c>
      <c r="F187" s="326">
        <v>300</v>
      </c>
      <c r="G187" s="326">
        <v>300</v>
      </c>
      <c r="H187" s="327">
        <v>300</v>
      </c>
      <c r="J187" s="52"/>
      <c r="K187" s="52"/>
      <c r="L187" s="52"/>
      <c r="M187" s="52"/>
      <c r="N187" s="52"/>
      <c r="O187" s="52"/>
      <c r="P187" s="52"/>
      <c r="Q187" s="52"/>
      <c r="R187" s="52"/>
    </row>
    <row r="188" spans="1:25" x14ac:dyDescent="0.15">
      <c r="J188" s="52"/>
      <c r="K188" s="52"/>
      <c r="L188" s="52"/>
      <c r="M188" s="52"/>
      <c r="N188" s="52"/>
      <c r="O188" s="52"/>
      <c r="P188" s="52"/>
      <c r="Q188" s="52"/>
      <c r="R188" s="52"/>
    </row>
    <row r="189" spans="1:25" x14ac:dyDescent="0.15">
      <c r="J189" s="52"/>
      <c r="K189" s="52"/>
      <c r="L189" s="52"/>
      <c r="M189" s="52"/>
      <c r="N189" s="52"/>
      <c r="O189" s="52"/>
      <c r="P189" s="52"/>
      <c r="Q189" s="52"/>
      <c r="R189" s="52"/>
    </row>
  </sheetData>
  <sheetProtection algorithmName="SHA-512" hashValue="4To5mXZ25E7JCi98H3ruCrOZZmjHJZx0bayzL3w3Fo5/alSxkCoGbxACXl06MFfZOXAvCbTfjV+w50xR0YKmWg==" saltValue="Mv0kc9oLVcBE+inDp1JGFw==" spinCount="100000" sheet="1" selectLockedCells="1"/>
  <mergeCells count="26">
    <mergeCell ref="A5:I5"/>
    <mergeCell ref="A6:I6"/>
    <mergeCell ref="A7:I7"/>
    <mergeCell ref="AA2:AC2"/>
    <mergeCell ref="O3:P3"/>
    <mergeCell ref="O4:P4"/>
    <mergeCell ref="K2:L2"/>
    <mergeCell ref="AA3:AC3"/>
    <mergeCell ref="A2:H2"/>
    <mergeCell ref="A4:H4"/>
    <mergeCell ref="K7:L7"/>
    <mergeCell ref="K8:Q8"/>
    <mergeCell ref="K83:Q83"/>
    <mergeCell ref="S8:Y8"/>
    <mergeCell ref="S83:Y83"/>
    <mergeCell ref="A8:B8"/>
    <mergeCell ref="A83:B83"/>
    <mergeCell ref="A80:I80"/>
    <mergeCell ref="A81:I81"/>
    <mergeCell ref="A82:I82"/>
    <mergeCell ref="A155:I155"/>
    <mergeCell ref="A156:I156"/>
    <mergeCell ref="K158:Q158"/>
    <mergeCell ref="S158:Y158"/>
    <mergeCell ref="A157:I157"/>
    <mergeCell ref="A158:B158"/>
  </mergeCells>
  <phoneticPr fontId="9" type="noConversion"/>
  <conditionalFormatting sqref="T1:XFD1 AD2:XFD4 A1:N1 I4:O4 A3:H3 A2 M2:R2 Z8:XFD8 A79:XFD79 A154:XFD154 J83:K83 S83 Z83:XFD83 J2:K2 J3:O3 A5:A6 A9:Q78 A80:A81 J80:XFD82 A84:Q153 S3:W4 Y2:Z4 T2:W2 S8:S78 T9:XFD78 S84:XFD153 J155:XFD157 A155:A156 J158:K158 Z158:XFD158 R158:S158 A183:O185 A188:XFD1048576 I186:XFD187 C160:O182 C159:XFD159 P160:XFD185 J5:XFD6 M7:XFD7 J7:K8">
    <cfRule type="containsText" dxfId="31" priority="37" operator="containsText" text="TRUE">
      <formula>NOT(ISERROR(SEARCH("TRUE",A1)))</formula>
    </cfRule>
    <cfRule type="containsText" dxfId="30" priority="38" operator="containsText" text="FALSE">
      <formula>NOT(ISERROR(SEARCH("FALSE",A1)))</formula>
    </cfRule>
  </conditionalFormatting>
  <conditionalFormatting sqref="AA4:AC4 AA3">
    <cfRule type="containsText" dxfId="29" priority="21" operator="containsText" text="TRUE">
      <formula>NOT(ISERROR(SEARCH("TRUE",AA3)))</formula>
    </cfRule>
    <cfRule type="containsText" dxfId="28" priority="22" operator="containsText" text="FALSE">
      <formula>NOT(ISERROR(SEARCH("FALSE",AA3)))</formula>
    </cfRule>
  </conditionalFormatting>
  <conditionalFormatting sqref="I2">
    <cfRule type="containsText" dxfId="27" priority="11" operator="containsText" text="TRUE">
      <formula>NOT(ISERROR(SEARCH("TRUE",I2)))</formula>
    </cfRule>
    <cfRule type="containsText" dxfId="26" priority="12" operator="containsText" text="FALSE">
      <formula>NOT(ISERROR(SEARCH("FALSE",I2)))</formula>
    </cfRule>
  </conditionalFormatting>
  <conditionalFormatting sqref="I3">
    <cfRule type="containsText" dxfId="25" priority="9" operator="containsText" text="TRUE">
      <formula>NOT(ISERROR(SEARCH("TRUE",I3)))</formula>
    </cfRule>
    <cfRule type="containsText" dxfId="24" priority="10" operator="containsText" text="FALSE">
      <formula>NOT(ISERROR(SEARCH("FALSE",I3)))</formula>
    </cfRule>
  </conditionalFormatting>
  <conditionalFormatting sqref="A8:I8">
    <cfRule type="containsText" dxfId="23" priority="5" operator="containsText" text="TRUE">
      <formula>NOT(ISERROR(SEARCH("TRUE",A8)))</formula>
    </cfRule>
    <cfRule type="containsText" dxfId="22" priority="6" operator="containsText" text="FALSE">
      <formula>NOT(ISERROR(SEARCH("FALSE",A8)))</formula>
    </cfRule>
  </conditionalFormatting>
  <conditionalFormatting sqref="A83:I83">
    <cfRule type="containsText" dxfId="21" priority="3" operator="containsText" text="TRUE">
      <formula>NOT(ISERROR(SEARCH("TRUE",A83)))</formula>
    </cfRule>
    <cfRule type="containsText" dxfId="20" priority="4" operator="containsText" text="FALSE">
      <formula>NOT(ISERROR(SEARCH("FALSE",A83)))</formula>
    </cfRule>
  </conditionalFormatting>
  <conditionalFormatting sqref="A158:I158">
    <cfRule type="containsText" dxfId="19" priority="1" operator="containsText" text="TRUE">
      <formula>NOT(ISERROR(SEARCH("TRUE",A158)))</formula>
    </cfRule>
    <cfRule type="containsText" dxfId="18" priority="2" operator="containsText" text="FALSE">
      <formula>NOT(ISERROR(SEARCH("FALSE",A158)))</formula>
    </cfRule>
  </conditionalFormatting>
  <pageMargins left="0.74803149606299213" right="0.74803149606299213" top="0.98425196850393704" bottom="0.98425196850393704" header="0.51181102362204722" footer="0.51181102362204722"/>
  <pageSetup paperSize="9" orientation="landscape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2:I184"/>
  <sheetViews>
    <sheetView showGridLines="0" topLeftCell="A1048576" zoomScaleNormal="100" workbookViewId="0">
      <selection sqref="A1:XFD1048576"/>
    </sheetView>
  </sheetViews>
  <sheetFormatPr baseColWidth="10" defaultColWidth="8.83203125" defaultRowHeight="13" zeroHeight="1" x14ac:dyDescent="0.15"/>
  <cols>
    <col min="1" max="1" width="9.6640625" style="155" bestFit="1" customWidth="1"/>
    <col min="2" max="2" width="11" style="47" bestFit="1" customWidth="1"/>
    <col min="3" max="7" width="13.83203125" style="55" customWidth="1"/>
    <col min="8" max="9" width="13.83203125" style="39" customWidth="1"/>
    <col min="10" max="16384" width="8.83203125" style="39"/>
  </cols>
  <sheetData>
    <row r="2" spans="1:9" ht="18" hidden="1" x14ac:dyDescent="0.2">
      <c r="A2" s="623" t="s">
        <v>127</v>
      </c>
      <c r="B2" s="624"/>
      <c r="C2" s="624"/>
      <c r="D2" s="624"/>
      <c r="E2" s="624"/>
      <c r="F2" s="624"/>
      <c r="G2" s="624"/>
      <c r="H2" s="624"/>
      <c r="I2" s="625"/>
    </row>
    <row r="3" spans="1:9" ht="18" hidden="1" x14ac:dyDescent="0.2">
      <c r="A3" s="626" t="s">
        <v>70</v>
      </c>
      <c r="B3" s="627"/>
      <c r="C3" s="627"/>
      <c r="D3" s="627"/>
      <c r="E3" s="627"/>
      <c r="F3" s="627"/>
      <c r="G3" s="627"/>
      <c r="H3" s="627"/>
      <c r="I3" s="628"/>
    </row>
    <row r="4" spans="1:9" hidden="1" x14ac:dyDescent="0.15">
      <c r="A4" s="597"/>
      <c r="B4" s="598"/>
      <c r="C4" s="598"/>
      <c r="D4" s="598"/>
      <c r="E4" s="598"/>
      <c r="F4" s="598"/>
      <c r="G4" s="598"/>
      <c r="H4" s="598"/>
      <c r="I4" s="599"/>
    </row>
    <row r="5" spans="1:9" hidden="1" x14ac:dyDescent="0.15">
      <c r="A5" s="593" t="s">
        <v>131</v>
      </c>
      <c r="B5" s="594"/>
      <c r="C5" s="200">
        <v>250</v>
      </c>
      <c r="D5" s="200">
        <v>500</v>
      </c>
      <c r="E5" s="200">
        <v>1000</v>
      </c>
      <c r="F5" s="200">
        <v>2000</v>
      </c>
      <c r="G5" s="200">
        <v>5000</v>
      </c>
      <c r="H5" s="212">
        <v>10000</v>
      </c>
      <c r="I5" s="201">
        <v>20000</v>
      </c>
    </row>
    <row r="6" spans="1:9" hidden="1" x14ac:dyDescent="0.15">
      <c r="A6" s="208">
        <v>18</v>
      </c>
      <c r="B6" s="53"/>
      <c r="C6">
        <v>3759</v>
      </c>
      <c r="D6">
        <v>3274</v>
      </c>
      <c r="E6">
        <v>2857</v>
      </c>
      <c r="F6">
        <v>1992</v>
      </c>
      <c r="G6">
        <v>1080</v>
      </c>
      <c r="H6">
        <v>613</v>
      </c>
      <c r="I6" s="314">
        <v>359</v>
      </c>
    </row>
    <row r="7" spans="1:9" hidden="1" x14ac:dyDescent="0.15">
      <c r="A7" s="208">
        <v>19</v>
      </c>
      <c r="B7" s="53"/>
      <c r="C7">
        <v>3823</v>
      </c>
      <c r="D7">
        <v>3331</v>
      </c>
      <c r="E7">
        <v>2857</v>
      </c>
      <c r="F7">
        <v>1992</v>
      </c>
      <c r="G7">
        <v>1089</v>
      </c>
      <c r="H7">
        <v>620</v>
      </c>
      <c r="I7" s="314">
        <v>366</v>
      </c>
    </row>
    <row r="8" spans="1:9" hidden="1" x14ac:dyDescent="0.15">
      <c r="A8" s="208">
        <v>20</v>
      </c>
      <c r="B8" s="53"/>
      <c r="C8">
        <v>3889</v>
      </c>
      <c r="D8">
        <v>3385</v>
      </c>
      <c r="E8">
        <v>2857</v>
      </c>
      <c r="F8">
        <v>1998</v>
      </c>
      <c r="G8">
        <v>1100</v>
      </c>
      <c r="H8">
        <v>631</v>
      </c>
      <c r="I8" s="314">
        <v>375</v>
      </c>
    </row>
    <row r="9" spans="1:9" hidden="1" x14ac:dyDescent="0.15">
      <c r="A9" s="208">
        <v>21</v>
      </c>
      <c r="B9" s="53"/>
      <c r="C9">
        <v>3961</v>
      </c>
      <c r="D9">
        <v>3446</v>
      </c>
      <c r="E9">
        <v>2857</v>
      </c>
      <c r="F9">
        <v>2007</v>
      </c>
      <c r="G9">
        <v>1111</v>
      </c>
      <c r="H9">
        <v>643</v>
      </c>
      <c r="I9" s="314">
        <v>382</v>
      </c>
    </row>
    <row r="10" spans="1:9" hidden="1" x14ac:dyDescent="0.15">
      <c r="A10" s="208">
        <v>22</v>
      </c>
      <c r="B10" s="53"/>
      <c r="C10">
        <v>4028</v>
      </c>
      <c r="D10">
        <v>3501</v>
      </c>
      <c r="E10">
        <v>2865</v>
      </c>
      <c r="F10">
        <v>2022</v>
      </c>
      <c r="G10">
        <v>1128</v>
      </c>
      <c r="H10">
        <v>653</v>
      </c>
      <c r="I10" s="314">
        <v>392</v>
      </c>
    </row>
    <row r="11" spans="1:9" hidden="1" x14ac:dyDescent="0.15">
      <c r="A11" s="208">
        <v>23</v>
      </c>
      <c r="B11" s="53"/>
      <c r="C11">
        <v>4093</v>
      </c>
      <c r="D11">
        <v>3558</v>
      </c>
      <c r="E11">
        <v>2879</v>
      </c>
      <c r="F11">
        <v>2040</v>
      </c>
      <c r="G11">
        <v>1146</v>
      </c>
      <c r="H11">
        <v>667</v>
      </c>
      <c r="I11" s="314">
        <v>404</v>
      </c>
    </row>
    <row r="12" spans="1:9" hidden="1" x14ac:dyDescent="0.15">
      <c r="A12" s="208">
        <v>24</v>
      </c>
      <c r="B12" s="53"/>
      <c r="C12">
        <v>4160</v>
      </c>
      <c r="D12">
        <v>3616</v>
      </c>
      <c r="E12">
        <v>2902</v>
      </c>
      <c r="F12">
        <v>2065</v>
      </c>
      <c r="G12">
        <v>1166</v>
      </c>
      <c r="H12">
        <v>685</v>
      </c>
      <c r="I12" s="314">
        <v>418</v>
      </c>
    </row>
    <row r="13" spans="1:9" hidden="1" x14ac:dyDescent="0.15">
      <c r="A13" s="208">
        <v>25</v>
      </c>
      <c r="B13" s="53"/>
      <c r="C13">
        <v>4173</v>
      </c>
      <c r="D13">
        <v>3679</v>
      </c>
      <c r="E13">
        <v>2930</v>
      </c>
      <c r="F13">
        <v>2093</v>
      </c>
      <c r="G13">
        <v>1189</v>
      </c>
      <c r="H13">
        <v>701</v>
      </c>
      <c r="I13" s="314">
        <v>430</v>
      </c>
    </row>
    <row r="14" spans="1:9" hidden="1" x14ac:dyDescent="0.15">
      <c r="A14" s="208">
        <v>26</v>
      </c>
      <c r="B14" s="53"/>
      <c r="C14">
        <v>4169</v>
      </c>
      <c r="D14">
        <v>3733</v>
      </c>
      <c r="E14">
        <v>2968</v>
      </c>
      <c r="F14">
        <v>2128</v>
      </c>
      <c r="G14">
        <v>1218</v>
      </c>
      <c r="H14">
        <v>720</v>
      </c>
      <c r="I14" s="314">
        <v>444</v>
      </c>
    </row>
    <row r="15" spans="1:9" hidden="1" x14ac:dyDescent="0.15">
      <c r="A15" s="208">
        <v>27</v>
      </c>
      <c r="B15" s="53"/>
      <c r="C15">
        <v>4174</v>
      </c>
      <c r="D15">
        <v>3788</v>
      </c>
      <c r="E15">
        <v>3013</v>
      </c>
      <c r="F15">
        <v>2170</v>
      </c>
      <c r="G15">
        <v>1247</v>
      </c>
      <c r="H15">
        <v>743</v>
      </c>
      <c r="I15" s="314">
        <v>462</v>
      </c>
    </row>
    <row r="16" spans="1:9" hidden="1" x14ac:dyDescent="0.15">
      <c r="A16" s="208">
        <v>28</v>
      </c>
      <c r="B16" s="53"/>
      <c r="C16">
        <v>4188</v>
      </c>
      <c r="D16">
        <v>3782</v>
      </c>
      <c r="E16">
        <v>3064</v>
      </c>
      <c r="F16">
        <v>2216</v>
      </c>
      <c r="G16">
        <v>1281</v>
      </c>
      <c r="H16">
        <v>767</v>
      </c>
      <c r="I16" s="314">
        <v>478</v>
      </c>
    </row>
    <row r="17" spans="1:9" hidden="1" x14ac:dyDescent="0.15">
      <c r="A17" s="208">
        <v>29</v>
      </c>
      <c r="B17" s="53"/>
      <c r="C17">
        <v>4211</v>
      </c>
      <c r="D17">
        <v>3766.74</v>
      </c>
      <c r="E17">
        <v>3124</v>
      </c>
      <c r="F17">
        <v>2268</v>
      </c>
      <c r="G17">
        <v>1320</v>
      </c>
      <c r="H17">
        <v>793</v>
      </c>
      <c r="I17" s="314">
        <v>497</v>
      </c>
    </row>
    <row r="18" spans="1:9" hidden="1" x14ac:dyDescent="0.15">
      <c r="A18" s="208">
        <v>30</v>
      </c>
      <c r="B18" s="53"/>
      <c r="C18">
        <v>4245</v>
      </c>
      <c r="D18">
        <v>3768</v>
      </c>
      <c r="E18">
        <v>3197</v>
      </c>
      <c r="F18">
        <v>2326</v>
      </c>
      <c r="G18">
        <v>1359</v>
      </c>
      <c r="H18">
        <v>823</v>
      </c>
      <c r="I18" s="314">
        <v>518</v>
      </c>
    </row>
    <row r="19" spans="1:9" hidden="1" x14ac:dyDescent="0.15">
      <c r="A19" s="208">
        <v>31</v>
      </c>
      <c r="B19" s="53"/>
      <c r="C19">
        <v>4288</v>
      </c>
      <c r="D19">
        <v>3779</v>
      </c>
      <c r="E19">
        <v>3274</v>
      </c>
      <c r="F19">
        <v>2393</v>
      </c>
      <c r="G19">
        <v>1404</v>
      </c>
      <c r="H19">
        <v>855</v>
      </c>
      <c r="I19" s="314">
        <v>543</v>
      </c>
    </row>
    <row r="20" spans="1:9" s="51" customFormat="1" hidden="1" x14ac:dyDescent="0.15">
      <c r="A20" s="209">
        <v>32</v>
      </c>
      <c r="B20" s="53"/>
      <c r="C20">
        <v>4341</v>
      </c>
      <c r="D20">
        <v>3802</v>
      </c>
      <c r="E20">
        <v>3353</v>
      </c>
      <c r="F20">
        <v>2465</v>
      </c>
      <c r="G20">
        <v>1456</v>
      </c>
      <c r="H20">
        <v>888</v>
      </c>
      <c r="I20" s="314">
        <v>567</v>
      </c>
    </row>
    <row r="21" spans="1:9" hidden="1" x14ac:dyDescent="0.15">
      <c r="A21" s="208">
        <v>33</v>
      </c>
      <c r="B21" s="53"/>
      <c r="C21">
        <v>4405</v>
      </c>
      <c r="D21">
        <v>3837</v>
      </c>
      <c r="E21">
        <v>3385</v>
      </c>
      <c r="F21">
        <v>2543</v>
      </c>
      <c r="G21">
        <v>1510</v>
      </c>
      <c r="H21">
        <v>928</v>
      </c>
      <c r="I21" s="314">
        <v>595</v>
      </c>
    </row>
    <row r="22" spans="1:9" hidden="1" x14ac:dyDescent="0.15">
      <c r="A22" s="208">
        <v>34</v>
      </c>
      <c r="B22" s="53"/>
      <c r="C22">
        <v>4479</v>
      </c>
      <c r="D22">
        <v>3885</v>
      </c>
      <c r="E22">
        <v>3428</v>
      </c>
      <c r="F22">
        <v>2633</v>
      </c>
      <c r="G22">
        <v>1572</v>
      </c>
      <c r="H22">
        <v>968</v>
      </c>
      <c r="I22" s="314">
        <v>625</v>
      </c>
    </row>
    <row r="23" spans="1:9" hidden="1" x14ac:dyDescent="0.15">
      <c r="A23" s="208">
        <v>35</v>
      </c>
      <c r="B23" s="53"/>
      <c r="C23">
        <v>4564</v>
      </c>
      <c r="D23">
        <v>3946</v>
      </c>
      <c r="E23">
        <v>3482</v>
      </c>
      <c r="F23">
        <v>2731</v>
      </c>
      <c r="G23">
        <v>1637</v>
      </c>
      <c r="H23">
        <v>1014</v>
      </c>
      <c r="I23" s="314">
        <v>657</v>
      </c>
    </row>
    <row r="24" spans="1:9" hidden="1" x14ac:dyDescent="0.15">
      <c r="A24" s="208">
        <v>36</v>
      </c>
      <c r="B24" s="53"/>
      <c r="C24">
        <v>4661</v>
      </c>
      <c r="D24">
        <v>4020</v>
      </c>
      <c r="E24">
        <v>3546</v>
      </c>
      <c r="F24">
        <v>2837</v>
      </c>
      <c r="G24">
        <v>1708</v>
      </c>
      <c r="H24">
        <v>1062</v>
      </c>
      <c r="I24" s="314">
        <v>695</v>
      </c>
    </row>
    <row r="25" spans="1:9" hidden="1" x14ac:dyDescent="0.15">
      <c r="A25" s="208">
        <v>37</v>
      </c>
      <c r="B25" s="53"/>
      <c r="C25">
        <v>4768</v>
      </c>
      <c r="D25">
        <v>4107</v>
      </c>
      <c r="E25">
        <v>3622</v>
      </c>
      <c r="F25">
        <v>2948</v>
      </c>
      <c r="G25">
        <v>1788</v>
      </c>
      <c r="H25">
        <v>1116</v>
      </c>
      <c r="I25" s="314">
        <v>732</v>
      </c>
    </row>
    <row r="26" spans="1:9" hidden="1" x14ac:dyDescent="0.15">
      <c r="A26" s="208">
        <v>38</v>
      </c>
      <c r="B26" s="53"/>
      <c r="C26">
        <v>4887</v>
      </c>
      <c r="D26">
        <v>4207</v>
      </c>
      <c r="E26">
        <v>3709</v>
      </c>
      <c r="F26">
        <v>3013</v>
      </c>
      <c r="G26">
        <v>1872</v>
      </c>
      <c r="H26">
        <v>1173</v>
      </c>
      <c r="I26" s="314">
        <v>775</v>
      </c>
    </row>
    <row r="27" spans="1:9" hidden="1" x14ac:dyDescent="0.15">
      <c r="A27" s="208">
        <v>39</v>
      </c>
      <c r="B27" s="53"/>
      <c r="C27">
        <v>5017</v>
      </c>
      <c r="D27">
        <v>4320</v>
      </c>
      <c r="E27">
        <v>3806</v>
      </c>
      <c r="F27">
        <v>3087</v>
      </c>
      <c r="G27">
        <v>1965</v>
      </c>
      <c r="H27">
        <v>1237</v>
      </c>
      <c r="I27" s="314">
        <v>821</v>
      </c>
    </row>
    <row r="28" spans="1:9" hidden="1" x14ac:dyDescent="0.15">
      <c r="A28" s="208">
        <v>40</v>
      </c>
      <c r="B28" s="53"/>
      <c r="C28">
        <v>5158</v>
      </c>
      <c r="D28">
        <v>4446</v>
      </c>
      <c r="E28">
        <v>3915</v>
      </c>
      <c r="F28">
        <v>3172</v>
      </c>
      <c r="G28">
        <v>2066</v>
      </c>
      <c r="H28">
        <v>1305</v>
      </c>
      <c r="I28" s="314">
        <v>871</v>
      </c>
    </row>
    <row r="29" spans="1:9" hidden="1" x14ac:dyDescent="0.15">
      <c r="A29" s="208">
        <v>41</v>
      </c>
      <c r="B29" s="53"/>
      <c r="C29">
        <v>5309</v>
      </c>
      <c r="D29">
        <v>4584</v>
      </c>
      <c r="E29">
        <v>4033</v>
      </c>
      <c r="F29">
        <v>3267</v>
      </c>
      <c r="G29">
        <v>2174</v>
      </c>
      <c r="H29">
        <v>1379</v>
      </c>
      <c r="I29" s="314">
        <v>925</v>
      </c>
    </row>
    <row r="30" spans="1:9" hidden="1" x14ac:dyDescent="0.15">
      <c r="A30" s="208">
        <v>42</v>
      </c>
      <c r="B30" s="53"/>
      <c r="C30">
        <v>5471</v>
      </c>
      <c r="D30">
        <v>4733</v>
      </c>
      <c r="E30">
        <v>4161</v>
      </c>
      <c r="F30">
        <v>3371</v>
      </c>
      <c r="G30">
        <v>2291</v>
      </c>
      <c r="H30">
        <v>1460</v>
      </c>
      <c r="I30" s="314">
        <v>984</v>
      </c>
    </row>
    <row r="31" spans="1:9" hidden="1" x14ac:dyDescent="0.15">
      <c r="A31" s="208">
        <v>43</v>
      </c>
      <c r="B31" s="53"/>
      <c r="C31">
        <v>5642</v>
      </c>
      <c r="D31">
        <v>4893</v>
      </c>
      <c r="E31">
        <v>4297</v>
      </c>
      <c r="F31">
        <v>3484</v>
      </c>
      <c r="G31">
        <v>2419</v>
      </c>
      <c r="H31">
        <v>1548</v>
      </c>
      <c r="I31" s="314">
        <v>1049</v>
      </c>
    </row>
    <row r="32" spans="1:9" hidden="1" x14ac:dyDescent="0.15">
      <c r="A32" s="208">
        <v>44</v>
      </c>
      <c r="B32" s="53"/>
      <c r="C32">
        <v>5820</v>
      </c>
      <c r="D32">
        <v>5062</v>
      </c>
      <c r="E32">
        <v>4440</v>
      </c>
      <c r="F32">
        <v>3604</v>
      </c>
      <c r="G32">
        <v>2558</v>
      </c>
      <c r="H32">
        <v>1642</v>
      </c>
      <c r="I32" s="314">
        <v>1118</v>
      </c>
    </row>
    <row r="33" spans="1:9" hidden="1" x14ac:dyDescent="0.15">
      <c r="A33" s="208">
        <v>45</v>
      </c>
      <c r="B33" s="53"/>
      <c r="C33">
        <v>6003</v>
      </c>
      <c r="D33">
        <v>5237</v>
      </c>
      <c r="E33">
        <v>4587</v>
      </c>
      <c r="F33">
        <v>3729</v>
      </c>
      <c r="G33">
        <v>2706</v>
      </c>
      <c r="H33">
        <v>1744</v>
      </c>
      <c r="I33" s="314">
        <v>1194</v>
      </c>
    </row>
    <row r="34" spans="1:9" hidden="1" x14ac:dyDescent="0.15">
      <c r="A34" s="208">
        <v>46</v>
      </c>
      <c r="B34" s="53"/>
      <c r="C34">
        <v>6186</v>
      </c>
      <c r="D34">
        <v>5416</v>
      </c>
      <c r="E34">
        <v>4734</v>
      </c>
      <c r="F34">
        <v>3854</v>
      </c>
      <c r="G34">
        <v>2867</v>
      </c>
      <c r="H34">
        <v>1856</v>
      </c>
      <c r="I34" s="314">
        <v>1278</v>
      </c>
    </row>
    <row r="35" spans="1:9" hidden="1" x14ac:dyDescent="0.15">
      <c r="A35" s="208">
        <v>47</v>
      </c>
      <c r="B35" s="53"/>
      <c r="C35">
        <v>6365</v>
      </c>
      <c r="D35">
        <v>5592</v>
      </c>
      <c r="E35">
        <v>4878</v>
      </c>
      <c r="F35">
        <v>3977</v>
      </c>
      <c r="G35">
        <v>3043</v>
      </c>
      <c r="H35">
        <v>1976</v>
      </c>
      <c r="I35" s="314">
        <v>1366</v>
      </c>
    </row>
    <row r="36" spans="1:9" hidden="1" x14ac:dyDescent="0.15">
      <c r="A36" s="208">
        <v>48</v>
      </c>
      <c r="B36" s="53"/>
      <c r="C36">
        <v>6538</v>
      </c>
      <c r="D36">
        <v>5767</v>
      </c>
      <c r="E36">
        <v>5019</v>
      </c>
      <c r="F36">
        <v>4095</v>
      </c>
      <c r="G36">
        <v>3234</v>
      </c>
      <c r="H36">
        <v>2107</v>
      </c>
      <c r="I36" s="314">
        <v>1464</v>
      </c>
    </row>
    <row r="37" spans="1:9" hidden="1" x14ac:dyDescent="0.15">
      <c r="A37" s="208">
        <v>49</v>
      </c>
      <c r="B37" s="53"/>
      <c r="C37">
        <v>6718</v>
      </c>
      <c r="D37">
        <v>5954</v>
      </c>
      <c r="E37">
        <v>5173</v>
      </c>
      <c r="F37">
        <v>4217</v>
      </c>
      <c r="G37">
        <v>3413</v>
      </c>
      <c r="H37">
        <v>2248</v>
      </c>
      <c r="I37" s="314">
        <v>1570</v>
      </c>
    </row>
    <row r="38" spans="1:9" hidden="1" x14ac:dyDescent="0.15">
      <c r="A38" s="208">
        <v>50</v>
      </c>
      <c r="B38" s="53"/>
      <c r="C38">
        <v>6935</v>
      </c>
      <c r="D38">
        <v>6185</v>
      </c>
      <c r="E38">
        <v>5372</v>
      </c>
      <c r="F38">
        <v>4371</v>
      </c>
      <c r="G38">
        <v>3519</v>
      </c>
      <c r="H38">
        <v>2292</v>
      </c>
      <c r="I38" s="314">
        <v>1692</v>
      </c>
    </row>
    <row r="39" spans="1:9" hidden="1" x14ac:dyDescent="0.15">
      <c r="A39" s="208">
        <v>51</v>
      </c>
      <c r="B39" s="53"/>
      <c r="C39">
        <v>7098</v>
      </c>
      <c r="D39">
        <v>6360</v>
      </c>
      <c r="E39">
        <v>5506</v>
      </c>
      <c r="F39">
        <v>4459</v>
      </c>
      <c r="G39">
        <v>3553</v>
      </c>
      <c r="H39">
        <v>2484</v>
      </c>
      <c r="I39" s="314">
        <v>1844</v>
      </c>
    </row>
    <row r="40" spans="1:9" hidden="1" x14ac:dyDescent="0.15">
      <c r="A40" s="208">
        <v>52</v>
      </c>
      <c r="B40" s="53"/>
      <c r="C40">
        <v>7266</v>
      </c>
      <c r="D40">
        <v>6533</v>
      </c>
      <c r="E40">
        <v>5632</v>
      </c>
      <c r="F40">
        <v>4539</v>
      </c>
      <c r="G40">
        <v>3555</v>
      </c>
      <c r="H40">
        <v>2690</v>
      </c>
      <c r="I40" s="314">
        <v>2006</v>
      </c>
    </row>
    <row r="41" spans="1:9" hidden="1" x14ac:dyDescent="0.15">
      <c r="A41" s="208">
        <v>53</v>
      </c>
      <c r="B41" s="53"/>
      <c r="C41">
        <v>7508</v>
      </c>
      <c r="D41">
        <v>6773</v>
      </c>
      <c r="E41">
        <v>5825</v>
      </c>
      <c r="F41">
        <v>4683</v>
      </c>
      <c r="G41">
        <v>3602</v>
      </c>
      <c r="H41">
        <v>2802</v>
      </c>
      <c r="I41" s="314">
        <v>2182</v>
      </c>
    </row>
    <row r="42" spans="1:9" hidden="1" x14ac:dyDescent="0.15">
      <c r="A42" s="208">
        <v>54</v>
      </c>
      <c r="B42" s="53"/>
      <c r="C42">
        <v>7852</v>
      </c>
      <c r="D42">
        <v>7112</v>
      </c>
      <c r="E42">
        <v>6121</v>
      </c>
      <c r="F42">
        <v>4927</v>
      </c>
      <c r="G42">
        <v>3733</v>
      </c>
      <c r="H42">
        <v>3030</v>
      </c>
      <c r="I42" s="314">
        <v>2371</v>
      </c>
    </row>
    <row r="43" spans="1:9" hidden="1" x14ac:dyDescent="0.15">
      <c r="A43" s="208">
        <v>55</v>
      </c>
      <c r="B43" s="53"/>
      <c r="C43">
        <v>8296</v>
      </c>
      <c r="D43">
        <v>7551</v>
      </c>
      <c r="E43">
        <v>6518</v>
      </c>
      <c r="F43">
        <v>5269</v>
      </c>
      <c r="G43">
        <v>3897</v>
      </c>
      <c r="H43">
        <v>3219</v>
      </c>
      <c r="I43" s="314">
        <v>2574</v>
      </c>
    </row>
    <row r="44" spans="1:9" hidden="1" x14ac:dyDescent="0.15">
      <c r="A44" s="208">
        <v>56</v>
      </c>
      <c r="B44" s="53"/>
      <c r="C44">
        <v>8831</v>
      </c>
      <c r="D44">
        <v>8081</v>
      </c>
      <c r="E44">
        <v>7011</v>
      </c>
      <c r="F44">
        <v>5703</v>
      </c>
      <c r="G44">
        <v>4008</v>
      </c>
      <c r="H44">
        <v>3404</v>
      </c>
      <c r="I44" s="314">
        <v>2789</v>
      </c>
    </row>
    <row r="45" spans="1:9" hidden="1" x14ac:dyDescent="0.15">
      <c r="A45" s="208">
        <v>57</v>
      </c>
      <c r="B45" s="53"/>
      <c r="C45">
        <v>9450</v>
      </c>
      <c r="D45">
        <v>8696</v>
      </c>
      <c r="E45">
        <v>7590</v>
      </c>
      <c r="F45">
        <v>6221</v>
      </c>
      <c r="G45">
        <v>4168</v>
      </c>
      <c r="H45">
        <v>3623</v>
      </c>
      <c r="I45" s="314">
        <v>3023</v>
      </c>
    </row>
    <row r="46" spans="1:9" hidden="1" x14ac:dyDescent="0.15">
      <c r="A46" s="208">
        <v>58</v>
      </c>
      <c r="B46" s="53"/>
      <c r="C46">
        <v>10148</v>
      </c>
      <c r="D46">
        <v>9047</v>
      </c>
      <c r="E46">
        <v>8250</v>
      </c>
      <c r="F46">
        <v>6816</v>
      </c>
      <c r="G46">
        <v>4402</v>
      </c>
      <c r="H46">
        <v>3743</v>
      </c>
      <c r="I46" s="314">
        <v>3275</v>
      </c>
    </row>
    <row r="47" spans="1:9" hidden="1" x14ac:dyDescent="0.15">
      <c r="A47" s="208">
        <v>59</v>
      </c>
      <c r="B47" s="53"/>
      <c r="C47">
        <v>10756</v>
      </c>
      <c r="D47">
        <v>9354</v>
      </c>
      <c r="E47">
        <v>8626</v>
      </c>
      <c r="F47">
        <v>7330</v>
      </c>
      <c r="G47">
        <v>4709</v>
      </c>
      <c r="H47">
        <v>3879</v>
      </c>
      <c r="I47" s="314">
        <v>3434</v>
      </c>
    </row>
    <row r="48" spans="1:9" hidden="1" x14ac:dyDescent="0.15">
      <c r="A48" s="208">
        <v>60</v>
      </c>
      <c r="B48" s="53"/>
      <c r="C48">
        <v>11102</v>
      </c>
      <c r="D48">
        <v>9652</v>
      </c>
      <c r="E48">
        <v>8884</v>
      </c>
      <c r="F48">
        <v>7578</v>
      </c>
      <c r="G48">
        <v>5075</v>
      </c>
      <c r="H48">
        <v>4024</v>
      </c>
      <c r="I48" s="314">
        <v>3560</v>
      </c>
    </row>
    <row r="49" spans="1:9" hidden="1" x14ac:dyDescent="0.15">
      <c r="A49" s="208">
        <v>61</v>
      </c>
      <c r="B49" s="53"/>
      <c r="C49">
        <v>11531</v>
      </c>
      <c r="D49">
        <v>10024</v>
      </c>
      <c r="E49">
        <v>9266</v>
      </c>
      <c r="F49">
        <v>7869</v>
      </c>
      <c r="G49">
        <v>5498</v>
      </c>
      <c r="H49">
        <v>4200</v>
      </c>
      <c r="I49" s="314">
        <v>3718</v>
      </c>
    </row>
    <row r="50" spans="1:9" hidden="1" x14ac:dyDescent="0.15">
      <c r="A50" s="208">
        <v>62</v>
      </c>
      <c r="B50" s="53"/>
      <c r="C50">
        <v>12259</v>
      </c>
      <c r="D50">
        <v>10525</v>
      </c>
      <c r="E50">
        <v>9708</v>
      </c>
      <c r="F50">
        <v>8273</v>
      </c>
      <c r="G50">
        <v>5976</v>
      </c>
      <c r="H50">
        <v>4428</v>
      </c>
      <c r="I50" s="314">
        <v>3930</v>
      </c>
    </row>
    <row r="51" spans="1:9" hidden="1" x14ac:dyDescent="0.15">
      <c r="A51" s="208">
        <v>63</v>
      </c>
      <c r="B51" s="53"/>
      <c r="C51">
        <v>13111</v>
      </c>
      <c r="D51">
        <v>11286</v>
      </c>
      <c r="E51">
        <v>10225</v>
      </c>
      <c r="F51">
        <v>8859</v>
      </c>
      <c r="G51">
        <v>6285</v>
      </c>
      <c r="H51">
        <v>4730</v>
      </c>
      <c r="I51" s="314">
        <v>4219</v>
      </c>
    </row>
    <row r="52" spans="1:9" hidden="1" x14ac:dyDescent="0.15">
      <c r="A52" s="208">
        <v>64</v>
      </c>
      <c r="B52" s="53"/>
      <c r="C52">
        <v>14022</v>
      </c>
      <c r="D52">
        <v>12105</v>
      </c>
      <c r="E52">
        <v>10808</v>
      </c>
      <c r="F52">
        <v>9610</v>
      </c>
      <c r="G52">
        <v>6646</v>
      </c>
      <c r="H52">
        <v>5091</v>
      </c>
      <c r="I52" s="314">
        <v>4612</v>
      </c>
    </row>
    <row r="53" spans="1:9" hidden="1" x14ac:dyDescent="0.15">
      <c r="A53" s="208">
        <v>65</v>
      </c>
      <c r="B53" s="53"/>
      <c r="C53">
        <v>15005</v>
      </c>
      <c r="D53">
        <v>12987</v>
      </c>
      <c r="E53">
        <v>11514</v>
      </c>
      <c r="F53">
        <v>10477</v>
      </c>
      <c r="G53">
        <v>7116</v>
      </c>
      <c r="H53">
        <v>5500</v>
      </c>
      <c r="I53" s="314">
        <v>5095</v>
      </c>
    </row>
    <row r="54" spans="1:9" hidden="1" x14ac:dyDescent="0.15">
      <c r="A54" s="208">
        <v>66</v>
      </c>
      <c r="B54" s="53"/>
      <c r="C54">
        <v>16059</v>
      </c>
      <c r="D54">
        <v>13939</v>
      </c>
      <c r="E54">
        <v>12346</v>
      </c>
      <c r="F54">
        <v>11353</v>
      </c>
      <c r="G54">
        <v>7663</v>
      </c>
      <c r="H54">
        <v>5974</v>
      </c>
      <c r="I54" s="314">
        <v>5625</v>
      </c>
    </row>
    <row r="55" spans="1:9" hidden="1" x14ac:dyDescent="0.15">
      <c r="A55" s="208">
        <v>67</v>
      </c>
      <c r="B55" s="53"/>
      <c r="C55">
        <v>17194</v>
      </c>
      <c r="D55">
        <v>14961</v>
      </c>
      <c r="E55">
        <v>13333</v>
      </c>
      <c r="F55">
        <v>12271</v>
      </c>
      <c r="G55">
        <v>8280</v>
      </c>
      <c r="H55">
        <v>6535</v>
      </c>
      <c r="I55" s="314">
        <v>6162</v>
      </c>
    </row>
    <row r="56" spans="1:9" hidden="1" x14ac:dyDescent="0.15">
      <c r="A56" s="208">
        <v>68</v>
      </c>
      <c r="B56" s="53"/>
      <c r="C56">
        <v>18409</v>
      </c>
      <c r="D56">
        <v>16060</v>
      </c>
      <c r="E56">
        <v>14463</v>
      </c>
      <c r="F56">
        <v>13305</v>
      </c>
      <c r="G56">
        <v>8975</v>
      </c>
      <c r="H56">
        <v>7201</v>
      </c>
      <c r="I56" s="314">
        <v>6664</v>
      </c>
    </row>
    <row r="57" spans="1:9" hidden="1" x14ac:dyDescent="0.15">
      <c r="A57" s="208">
        <v>69</v>
      </c>
      <c r="B57" s="53"/>
      <c r="C57">
        <v>19717</v>
      </c>
      <c r="D57">
        <v>17244</v>
      </c>
      <c r="E57">
        <v>15780</v>
      </c>
      <c r="F57">
        <v>14529</v>
      </c>
      <c r="G57">
        <v>9805</v>
      </c>
      <c r="H57">
        <v>7944</v>
      </c>
      <c r="I57" s="314">
        <v>7067</v>
      </c>
    </row>
    <row r="58" spans="1:9" hidden="1" x14ac:dyDescent="0.15">
      <c r="A58" s="208">
        <v>70</v>
      </c>
      <c r="B58" s="53"/>
      <c r="C58">
        <v>21454</v>
      </c>
      <c r="D58">
        <v>18657</v>
      </c>
      <c r="E58">
        <v>17161</v>
      </c>
      <c r="F58">
        <v>16167</v>
      </c>
      <c r="G58">
        <v>10843</v>
      </c>
      <c r="H58">
        <v>8750</v>
      </c>
      <c r="I58" s="314">
        <v>7398</v>
      </c>
    </row>
    <row r="59" spans="1:9" hidden="1" x14ac:dyDescent="0.15">
      <c r="A59" s="208">
        <v>71</v>
      </c>
      <c r="B59" s="53"/>
      <c r="C59">
        <v>23626</v>
      </c>
      <c r="D59">
        <v>20546</v>
      </c>
      <c r="E59">
        <v>19063</v>
      </c>
      <c r="F59">
        <v>17804</v>
      </c>
      <c r="G59">
        <v>11944</v>
      </c>
      <c r="H59">
        <v>9663</v>
      </c>
      <c r="I59" s="314">
        <v>7755</v>
      </c>
    </row>
    <row r="60" spans="1:9" hidden="1" x14ac:dyDescent="0.15">
      <c r="A60" s="208">
        <v>72</v>
      </c>
      <c r="B60" s="53"/>
      <c r="C60">
        <v>26135</v>
      </c>
      <c r="D60">
        <v>22725</v>
      </c>
      <c r="E60">
        <v>21092</v>
      </c>
      <c r="F60">
        <v>19704</v>
      </c>
      <c r="G60">
        <v>13218</v>
      </c>
      <c r="H60">
        <v>10729</v>
      </c>
      <c r="I60" s="314">
        <v>8232</v>
      </c>
    </row>
    <row r="61" spans="1:9" hidden="1" x14ac:dyDescent="0.15">
      <c r="A61" s="208">
        <v>73</v>
      </c>
      <c r="B61" s="53"/>
      <c r="C61">
        <v>29029</v>
      </c>
      <c r="D61">
        <v>25240</v>
      </c>
      <c r="E61">
        <v>23419</v>
      </c>
      <c r="F61">
        <v>21875</v>
      </c>
      <c r="G61">
        <v>14670</v>
      </c>
      <c r="H61">
        <v>11993</v>
      </c>
      <c r="I61" s="314">
        <v>8926</v>
      </c>
    </row>
    <row r="62" spans="1:9" hidden="1" x14ac:dyDescent="0.15">
      <c r="A62" s="208">
        <v>74</v>
      </c>
      <c r="B62" s="53"/>
      <c r="C62">
        <v>30930</v>
      </c>
      <c r="D62">
        <v>28139</v>
      </c>
      <c r="E62">
        <v>26111</v>
      </c>
      <c r="F62">
        <v>24391</v>
      </c>
      <c r="G62">
        <v>16361</v>
      </c>
      <c r="H62">
        <v>13475</v>
      </c>
      <c r="I62" s="314">
        <v>9898</v>
      </c>
    </row>
    <row r="63" spans="1:9" hidden="1" x14ac:dyDescent="0.15">
      <c r="A63" s="208">
        <v>75</v>
      </c>
      <c r="B63" s="53"/>
      <c r="C63">
        <v>32838</v>
      </c>
      <c r="D63">
        <v>31467</v>
      </c>
      <c r="E63">
        <v>29080</v>
      </c>
      <c r="F63">
        <v>27444</v>
      </c>
      <c r="G63">
        <v>18357</v>
      </c>
      <c r="H63">
        <v>14521</v>
      </c>
      <c r="I63" s="314">
        <v>11085</v>
      </c>
    </row>
    <row r="64" spans="1:9" hidden="1" x14ac:dyDescent="0.15">
      <c r="A64" s="208">
        <v>76</v>
      </c>
      <c r="B64" s="53"/>
      <c r="C64">
        <v>34821</v>
      </c>
      <c r="D64">
        <v>33972</v>
      </c>
      <c r="E64">
        <v>32480</v>
      </c>
      <c r="F64">
        <v>29363</v>
      </c>
      <c r="G64">
        <v>20582</v>
      </c>
      <c r="H64">
        <v>15635</v>
      </c>
      <c r="I64" s="314">
        <v>12395</v>
      </c>
    </row>
    <row r="65" spans="1:9" hidden="1" x14ac:dyDescent="0.15">
      <c r="A65" s="208">
        <v>77</v>
      </c>
      <c r="B65" s="53"/>
      <c r="C65">
        <v>36881</v>
      </c>
      <c r="D65">
        <v>36023</v>
      </c>
      <c r="E65">
        <v>34527</v>
      </c>
      <c r="F65">
        <v>31287</v>
      </c>
      <c r="G65">
        <v>23123</v>
      </c>
      <c r="H65">
        <v>17483</v>
      </c>
      <c r="I65" s="314">
        <v>13735</v>
      </c>
    </row>
    <row r="66" spans="1:9" hidden="1" x14ac:dyDescent="0.15">
      <c r="A66" s="208">
        <v>78</v>
      </c>
      <c r="B66" s="53"/>
      <c r="C66">
        <v>39018</v>
      </c>
      <c r="D66">
        <v>38151</v>
      </c>
      <c r="E66">
        <v>36652</v>
      </c>
      <c r="F66">
        <v>33287</v>
      </c>
      <c r="G66">
        <v>25979</v>
      </c>
      <c r="H66">
        <v>18772</v>
      </c>
      <c r="I66" s="314">
        <v>14960</v>
      </c>
    </row>
    <row r="67" spans="1:9" hidden="1" x14ac:dyDescent="0.15">
      <c r="A67" s="208">
        <v>79</v>
      </c>
      <c r="B67" s="53"/>
      <c r="C67">
        <v>41232</v>
      </c>
      <c r="D67">
        <v>40357</v>
      </c>
      <c r="E67">
        <v>38857</v>
      </c>
      <c r="F67">
        <v>35363</v>
      </c>
      <c r="G67">
        <v>27991</v>
      </c>
      <c r="H67">
        <v>20115</v>
      </c>
      <c r="I67" s="314">
        <v>15862</v>
      </c>
    </row>
    <row r="68" spans="1:9" hidden="1" x14ac:dyDescent="0.15">
      <c r="A68" s="208">
        <v>80</v>
      </c>
      <c r="B68" s="53"/>
      <c r="C68">
        <v>43525</v>
      </c>
      <c r="D68">
        <v>42641</v>
      </c>
      <c r="E68">
        <v>41143</v>
      </c>
      <c r="F68">
        <v>37517</v>
      </c>
      <c r="G68">
        <v>29763</v>
      </c>
      <c r="H68">
        <v>22322</v>
      </c>
      <c r="I68" s="314">
        <v>16799</v>
      </c>
    </row>
    <row r="69" spans="1:9" hidden="1" x14ac:dyDescent="0.15">
      <c r="A69" s="208">
        <v>81</v>
      </c>
      <c r="B69" s="53"/>
      <c r="C69">
        <v>43525</v>
      </c>
      <c r="D69">
        <v>42641</v>
      </c>
      <c r="E69">
        <v>41143</v>
      </c>
      <c r="F69">
        <v>37517</v>
      </c>
      <c r="G69">
        <v>29763</v>
      </c>
      <c r="H69">
        <v>22322</v>
      </c>
      <c r="I69" s="314">
        <v>16799</v>
      </c>
    </row>
    <row r="70" spans="1:9" hidden="1" x14ac:dyDescent="0.15">
      <c r="A70" s="208">
        <v>82</v>
      </c>
      <c r="B70" s="53"/>
      <c r="C70">
        <v>43525</v>
      </c>
      <c r="D70">
        <v>42641</v>
      </c>
      <c r="E70">
        <v>41143</v>
      </c>
      <c r="F70">
        <v>37517</v>
      </c>
      <c r="G70">
        <v>29763</v>
      </c>
      <c r="H70">
        <v>22322</v>
      </c>
      <c r="I70" s="314">
        <v>16799</v>
      </c>
    </row>
    <row r="71" spans="1:9" hidden="1" x14ac:dyDescent="0.15">
      <c r="A71" s="208">
        <v>83</v>
      </c>
      <c r="B71" s="53"/>
      <c r="C71">
        <v>43525</v>
      </c>
      <c r="D71">
        <v>42641</v>
      </c>
      <c r="E71">
        <v>41143</v>
      </c>
      <c r="F71">
        <v>37517</v>
      </c>
      <c r="G71">
        <v>29763</v>
      </c>
      <c r="H71">
        <v>22322</v>
      </c>
      <c r="I71" s="314">
        <v>16799</v>
      </c>
    </row>
    <row r="72" spans="1:9" s="54" customFormat="1" hidden="1" x14ac:dyDescent="0.15">
      <c r="A72" s="208">
        <v>84</v>
      </c>
      <c r="B72" s="53" t="s">
        <v>134</v>
      </c>
      <c r="C72">
        <v>43525</v>
      </c>
      <c r="D72">
        <v>42641</v>
      </c>
      <c r="E72">
        <v>41143</v>
      </c>
      <c r="F72">
        <v>37517</v>
      </c>
      <c r="G72">
        <v>29763</v>
      </c>
      <c r="H72">
        <v>22322</v>
      </c>
      <c r="I72" s="314">
        <v>16799</v>
      </c>
    </row>
    <row r="73" spans="1:9" hidden="1" x14ac:dyDescent="0.15">
      <c r="A73" s="206">
        <v>1</v>
      </c>
      <c r="B73" s="207" t="s">
        <v>135</v>
      </c>
      <c r="C73">
        <v>1154</v>
      </c>
      <c r="D73">
        <v>1114</v>
      </c>
      <c r="E73">
        <v>750</v>
      </c>
      <c r="F73">
        <v>670</v>
      </c>
      <c r="G73">
        <v>468</v>
      </c>
      <c r="H73">
        <v>404</v>
      </c>
      <c r="I73">
        <v>237</v>
      </c>
    </row>
    <row r="74" spans="1:9" hidden="1" x14ac:dyDescent="0.15">
      <c r="A74" s="208">
        <v>2</v>
      </c>
      <c r="B74" s="53" t="s">
        <v>136</v>
      </c>
      <c r="C74">
        <v>2210</v>
      </c>
      <c r="D74">
        <v>2136</v>
      </c>
      <c r="E74">
        <v>1431</v>
      </c>
      <c r="F74">
        <v>1268</v>
      </c>
      <c r="G74">
        <v>842</v>
      </c>
      <c r="H74">
        <v>478</v>
      </c>
      <c r="I74">
        <v>360</v>
      </c>
    </row>
    <row r="75" spans="1:9" hidden="1" x14ac:dyDescent="0.15">
      <c r="A75" s="210">
        <v>3</v>
      </c>
      <c r="B75" s="203" t="s">
        <v>137</v>
      </c>
      <c r="C75">
        <v>3206</v>
      </c>
      <c r="D75">
        <v>3112</v>
      </c>
      <c r="E75">
        <v>2072</v>
      </c>
      <c r="F75">
        <v>1825</v>
      </c>
      <c r="G75">
        <v>1167</v>
      </c>
      <c r="H75">
        <v>714</v>
      </c>
      <c r="I75">
        <v>540</v>
      </c>
    </row>
    <row r="77" spans="1:9" ht="18" hidden="1" x14ac:dyDescent="0.2">
      <c r="A77" s="623" t="s">
        <v>138</v>
      </c>
      <c r="B77" s="624"/>
      <c r="C77" s="624"/>
      <c r="D77" s="624"/>
      <c r="E77" s="624"/>
      <c r="F77" s="624"/>
      <c r="G77" s="624"/>
      <c r="H77" s="624"/>
      <c r="I77" s="625"/>
    </row>
    <row r="78" spans="1:9" ht="18" hidden="1" x14ac:dyDescent="0.2">
      <c r="A78" s="629" t="s">
        <v>70</v>
      </c>
      <c r="B78" s="587"/>
      <c r="C78" s="587"/>
      <c r="D78" s="587"/>
      <c r="E78" s="587"/>
      <c r="F78" s="587"/>
      <c r="G78" s="587"/>
      <c r="H78" s="587"/>
      <c r="I78" s="630"/>
    </row>
    <row r="79" spans="1:9" hidden="1" x14ac:dyDescent="0.15">
      <c r="A79" s="620"/>
      <c r="B79" s="621"/>
      <c r="C79" s="621"/>
      <c r="D79" s="621"/>
      <c r="E79" s="621"/>
      <c r="F79" s="621"/>
      <c r="G79" s="621"/>
      <c r="H79" s="621"/>
      <c r="I79" s="622"/>
    </row>
    <row r="80" spans="1:9" hidden="1" x14ac:dyDescent="0.15">
      <c r="A80" s="593" t="s">
        <v>131</v>
      </c>
      <c r="B80" s="594"/>
      <c r="C80" s="200">
        <v>250</v>
      </c>
      <c r="D80" s="200">
        <v>500</v>
      </c>
      <c r="E80" s="200">
        <v>1000</v>
      </c>
      <c r="F80" s="200">
        <v>2000</v>
      </c>
      <c r="G80" s="200">
        <v>5000</v>
      </c>
      <c r="H80" s="212">
        <v>10000</v>
      </c>
      <c r="I80" s="201">
        <v>20000</v>
      </c>
    </row>
    <row r="81" spans="1:9" hidden="1" x14ac:dyDescent="0.15">
      <c r="A81" s="208">
        <v>18</v>
      </c>
      <c r="B81" s="53"/>
      <c r="C81">
        <v>3196</v>
      </c>
      <c r="D81">
        <v>2733</v>
      </c>
      <c r="E81">
        <v>2036</v>
      </c>
      <c r="F81">
        <v>1404</v>
      </c>
      <c r="G81">
        <v>752</v>
      </c>
      <c r="H81">
        <v>422</v>
      </c>
      <c r="I81" s="314">
        <v>278</v>
      </c>
    </row>
    <row r="82" spans="1:9" hidden="1" x14ac:dyDescent="0.15">
      <c r="A82" s="208">
        <v>19</v>
      </c>
      <c r="B82" s="53"/>
      <c r="C82">
        <v>3248</v>
      </c>
      <c r="D82">
        <v>2733</v>
      </c>
      <c r="E82">
        <v>2036</v>
      </c>
      <c r="F82">
        <v>1406</v>
      </c>
      <c r="G82">
        <v>760</v>
      </c>
      <c r="H82">
        <v>429</v>
      </c>
      <c r="I82" s="314">
        <v>284</v>
      </c>
    </row>
    <row r="83" spans="1:9" hidden="1" x14ac:dyDescent="0.15">
      <c r="A83" s="208">
        <v>20</v>
      </c>
      <c r="B83" s="53"/>
      <c r="C83">
        <v>3305</v>
      </c>
      <c r="D83">
        <v>2733</v>
      </c>
      <c r="E83">
        <v>2036</v>
      </c>
      <c r="F83">
        <v>1411</v>
      </c>
      <c r="G83">
        <v>768</v>
      </c>
      <c r="H83">
        <v>434</v>
      </c>
      <c r="I83" s="314">
        <v>290</v>
      </c>
    </row>
    <row r="84" spans="1:9" hidden="1" x14ac:dyDescent="0.15">
      <c r="A84" s="208">
        <v>21</v>
      </c>
      <c r="B84" s="53"/>
      <c r="C84">
        <v>3369</v>
      </c>
      <c r="D84">
        <v>2733</v>
      </c>
      <c r="E84">
        <v>2040</v>
      </c>
      <c r="F84">
        <v>1419</v>
      </c>
      <c r="G84">
        <v>778</v>
      </c>
      <c r="H84">
        <v>444</v>
      </c>
      <c r="I84" s="314">
        <v>299</v>
      </c>
    </row>
    <row r="85" spans="1:9" hidden="1" x14ac:dyDescent="0.15">
      <c r="A85" s="208">
        <v>22</v>
      </c>
      <c r="B85" s="53"/>
      <c r="C85">
        <v>3422</v>
      </c>
      <c r="D85">
        <v>2733</v>
      </c>
      <c r="E85">
        <v>2047</v>
      </c>
      <c r="F85">
        <v>1429</v>
      </c>
      <c r="G85">
        <v>788</v>
      </c>
      <c r="H85">
        <v>452</v>
      </c>
      <c r="I85" s="314">
        <v>305</v>
      </c>
    </row>
    <row r="86" spans="1:9" hidden="1" x14ac:dyDescent="0.15">
      <c r="A86" s="208">
        <v>23</v>
      </c>
      <c r="B86" s="53"/>
      <c r="C86">
        <v>3479</v>
      </c>
      <c r="D86">
        <v>2741</v>
      </c>
      <c r="E86">
        <v>2060</v>
      </c>
      <c r="F86">
        <v>1444</v>
      </c>
      <c r="G86">
        <v>802</v>
      </c>
      <c r="H86">
        <v>463</v>
      </c>
      <c r="I86" s="314">
        <v>314</v>
      </c>
    </row>
    <row r="87" spans="1:9" hidden="1" x14ac:dyDescent="0.15">
      <c r="A87" s="208">
        <v>24</v>
      </c>
      <c r="B87" s="53"/>
      <c r="C87">
        <v>3489</v>
      </c>
      <c r="D87">
        <v>2754</v>
      </c>
      <c r="E87">
        <v>2076</v>
      </c>
      <c r="F87">
        <v>1465</v>
      </c>
      <c r="G87">
        <v>816</v>
      </c>
      <c r="H87">
        <v>475</v>
      </c>
      <c r="I87" s="314">
        <v>324</v>
      </c>
    </row>
    <row r="88" spans="1:9" hidden="1" x14ac:dyDescent="0.15">
      <c r="A88" s="208">
        <v>25</v>
      </c>
      <c r="B88" s="53"/>
      <c r="C88">
        <v>3504</v>
      </c>
      <c r="D88">
        <v>2773</v>
      </c>
      <c r="E88">
        <v>2097</v>
      </c>
      <c r="F88">
        <v>1485</v>
      </c>
      <c r="G88">
        <v>833</v>
      </c>
      <c r="H88">
        <v>488</v>
      </c>
      <c r="I88" s="314">
        <v>335</v>
      </c>
    </row>
    <row r="89" spans="1:9" hidden="1" x14ac:dyDescent="0.15">
      <c r="A89" s="208">
        <v>26</v>
      </c>
      <c r="B89" s="53"/>
      <c r="C89">
        <v>3531</v>
      </c>
      <c r="D89">
        <v>2801</v>
      </c>
      <c r="E89">
        <v>2128</v>
      </c>
      <c r="F89">
        <v>1512</v>
      </c>
      <c r="G89">
        <v>855</v>
      </c>
      <c r="H89">
        <v>501</v>
      </c>
      <c r="I89" s="314">
        <v>348</v>
      </c>
    </row>
    <row r="90" spans="1:9" hidden="1" x14ac:dyDescent="0.15">
      <c r="A90" s="208">
        <v>27</v>
      </c>
      <c r="B90" s="53"/>
      <c r="C90">
        <v>3566</v>
      </c>
      <c r="D90">
        <v>2836</v>
      </c>
      <c r="E90">
        <v>2163</v>
      </c>
      <c r="F90">
        <v>1541</v>
      </c>
      <c r="G90">
        <v>875</v>
      </c>
      <c r="H90">
        <v>517</v>
      </c>
      <c r="I90" s="314">
        <v>360</v>
      </c>
    </row>
    <row r="91" spans="1:9" hidden="1" x14ac:dyDescent="0.15">
      <c r="A91" s="208">
        <v>28</v>
      </c>
      <c r="B91" s="53"/>
      <c r="C91">
        <v>3610</v>
      </c>
      <c r="D91">
        <v>2878</v>
      </c>
      <c r="E91">
        <v>2201</v>
      </c>
      <c r="F91">
        <v>1575</v>
      </c>
      <c r="G91">
        <v>901</v>
      </c>
      <c r="H91">
        <v>534</v>
      </c>
      <c r="I91" s="314">
        <v>373</v>
      </c>
    </row>
    <row r="92" spans="1:9" hidden="1" x14ac:dyDescent="0.15">
      <c r="A92" s="208">
        <v>29</v>
      </c>
      <c r="B92" s="53"/>
      <c r="C92">
        <v>3663</v>
      </c>
      <c r="D92">
        <v>2925</v>
      </c>
      <c r="E92">
        <v>2244</v>
      </c>
      <c r="F92">
        <v>1614</v>
      </c>
      <c r="G92">
        <v>928</v>
      </c>
      <c r="H92">
        <v>553</v>
      </c>
      <c r="I92" s="314">
        <v>391</v>
      </c>
    </row>
    <row r="93" spans="1:9" hidden="1" x14ac:dyDescent="0.15">
      <c r="A93" s="208">
        <v>30</v>
      </c>
      <c r="B93" s="53"/>
      <c r="C93">
        <v>3723</v>
      </c>
      <c r="D93">
        <v>2984</v>
      </c>
      <c r="E93">
        <v>2297</v>
      </c>
      <c r="F93">
        <v>1658</v>
      </c>
      <c r="G93">
        <v>960</v>
      </c>
      <c r="H93">
        <v>575</v>
      </c>
      <c r="I93" s="314">
        <v>408</v>
      </c>
    </row>
    <row r="94" spans="1:9" hidden="1" x14ac:dyDescent="0.15">
      <c r="A94" s="208">
        <v>31</v>
      </c>
      <c r="B94" s="53"/>
      <c r="C94">
        <v>3796</v>
      </c>
      <c r="D94">
        <v>3051</v>
      </c>
      <c r="E94">
        <v>2357</v>
      </c>
      <c r="F94">
        <v>1705</v>
      </c>
      <c r="G94">
        <v>992</v>
      </c>
      <c r="H94">
        <v>597</v>
      </c>
      <c r="I94" s="314">
        <v>428</v>
      </c>
    </row>
    <row r="95" spans="1:9" hidden="1" x14ac:dyDescent="0.15">
      <c r="A95" s="208">
        <v>32</v>
      </c>
      <c r="B95" s="53"/>
      <c r="C95">
        <v>3881</v>
      </c>
      <c r="D95">
        <v>3127</v>
      </c>
      <c r="E95">
        <v>2419</v>
      </c>
      <c r="F95">
        <v>1756</v>
      </c>
      <c r="G95">
        <v>1030</v>
      </c>
      <c r="H95">
        <v>622</v>
      </c>
      <c r="I95" s="314">
        <v>446</v>
      </c>
    </row>
    <row r="96" spans="1:9" hidden="1" x14ac:dyDescent="0.15">
      <c r="A96" s="208">
        <v>33</v>
      </c>
      <c r="B96" s="53"/>
      <c r="C96">
        <v>3976</v>
      </c>
      <c r="D96">
        <v>3210</v>
      </c>
      <c r="E96">
        <v>2493</v>
      </c>
      <c r="F96">
        <v>1817</v>
      </c>
      <c r="G96">
        <v>1067</v>
      </c>
      <c r="H96">
        <v>650</v>
      </c>
      <c r="I96" s="314">
        <v>468</v>
      </c>
    </row>
    <row r="97" spans="1:9" hidden="1" x14ac:dyDescent="0.15">
      <c r="A97" s="208">
        <v>34</v>
      </c>
      <c r="B97" s="53"/>
      <c r="C97">
        <v>4081</v>
      </c>
      <c r="D97">
        <v>3304</v>
      </c>
      <c r="E97">
        <v>2573</v>
      </c>
      <c r="F97">
        <v>1883</v>
      </c>
      <c r="G97">
        <v>1111</v>
      </c>
      <c r="H97">
        <v>678</v>
      </c>
      <c r="I97" s="314">
        <v>493</v>
      </c>
    </row>
    <row r="98" spans="1:9" hidden="1" x14ac:dyDescent="0.15">
      <c r="A98" s="208">
        <v>35</v>
      </c>
      <c r="B98" s="53"/>
      <c r="C98">
        <v>4199</v>
      </c>
      <c r="D98">
        <v>3406</v>
      </c>
      <c r="E98">
        <v>2662</v>
      </c>
      <c r="F98">
        <v>1955</v>
      </c>
      <c r="G98">
        <v>1160</v>
      </c>
      <c r="H98">
        <v>711</v>
      </c>
      <c r="I98" s="314">
        <v>519</v>
      </c>
    </row>
    <row r="99" spans="1:9" hidden="1" x14ac:dyDescent="0.15">
      <c r="A99" s="208">
        <v>36</v>
      </c>
      <c r="B99" s="53"/>
      <c r="C99">
        <v>4329</v>
      </c>
      <c r="D99">
        <v>3521</v>
      </c>
      <c r="E99">
        <v>2760</v>
      </c>
      <c r="F99">
        <v>2029</v>
      </c>
      <c r="G99">
        <v>1212</v>
      </c>
      <c r="H99">
        <v>748</v>
      </c>
      <c r="I99" s="314">
        <v>545</v>
      </c>
    </row>
    <row r="100" spans="1:9" hidden="1" x14ac:dyDescent="0.15">
      <c r="A100" s="208">
        <v>37</v>
      </c>
      <c r="B100" s="53"/>
      <c r="C100">
        <v>4473</v>
      </c>
      <c r="D100">
        <v>3647</v>
      </c>
      <c r="E100">
        <v>2863</v>
      </c>
      <c r="F100">
        <v>2114</v>
      </c>
      <c r="G100">
        <v>1268</v>
      </c>
      <c r="H100">
        <v>785</v>
      </c>
      <c r="I100" s="314">
        <v>557</v>
      </c>
    </row>
    <row r="101" spans="1:9" hidden="1" x14ac:dyDescent="0.15">
      <c r="A101" s="208">
        <v>38</v>
      </c>
      <c r="B101" s="53"/>
      <c r="C101">
        <v>4626</v>
      </c>
      <c r="D101">
        <v>3780</v>
      </c>
      <c r="E101">
        <v>2977</v>
      </c>
      <c r="F101">
        <v>2208</v>
      </c>
      <c r="G101">
        <v>1330</v>
      </c>
      <c r="H101">
        <v>826</v>
      </c>
      <c r="I101" s="314">
        <v>569</v>
      </c>
    </row>
    <row r="102" spans="1:9" hidden="1" x14ac:dyDescent="0.15">
      <c r="A102" s="208">
        <v>39</v>
      </c>
      <c r="B102" s="53"/>
      <c r="C102">
        <v>4796</v>
      </c>
      <c r="D102">
        <v>3929</v>
      </c>
      <c r="E102">
        <v>3105</v>
      </c>
      <c r="F102">
        <v>2306</v>
      </c>
      <c r="G102">
        <v>1395</v>
      </c>
      <c r="H102">
        <v>871</v>
      </c>
      <c r="I102" s="314">
        <v>581</v>
      </c>
    </row>
    <row r="103" spans="1:9" hidden="1" x14ac:dyDescent="0.15">
      <c r="A103" s="208">
        <v>40</v>
      </c>
      <c r="B103" s="53"/>
      <c r="C103">
        <v>4932</v>
      </c>
      <c r="D103">
        <v>4089</v>
      </c>
      <c r="E103">
        <v>3182</v>
      </c>
      <c r="F103">
        <v>2416</v>
      </c>
      <c r="G103">
        <v>1470</v>
      </c>
      <c r="H103">
        <v>920</v>
      </c>
      <c r="I103" s="314">
        <v>606</v>
      </c>
    </row>
    <row r="104" spans="1:9" hidden="1" x14ac:dyDescent="0.15">
      <c r="A104" s="208">
        <v>41</v>
      </c>
      <c r="B104" s="53"/>
      <c r="C104">
        <v>5044</v>
      </c>
      <c r="D104">
        <v>4263</v>
      </c>
      <c r="E104">
        <v>3216</v>
      </c>
      <c r="F104">
        <v>2530</v>
      </c>
      <c r="G104">
        <v>1545</v>
      </c>
      <c r="H104">
        <v>973</v>
      </c>
      <c r="I104" s="314">
        <v>645</v>
      </c>
    </row>
    <row r="105" spans="1:9" hidden="1" x14ac:dyDescent="0.15">
      <c r="A105" s="208">
        <v>42</v>
      </c>
      <c r="B105" s="53"/>
      <c r="C105">
        <v>5161</v>
      </c>
      <c r="D105">
        <v>4453</v>
      </c>
      <c r="E105">
        <v>3260</v>
      </c>
      <c r="F105">
        <v>2661</v>
      </c>
      <c r="G105">
        <v>1631</v>
      </c>
      <c r="H105">
        <v>1030</v>
      </c>
      <c r="I105" s="314">
        <v>686</v>
      </c>
    </row>
    <row r="106" spans="1:9" hidden="1" x14ac:dyDescent="0.15">
      <c r="A106" s="208">
        <v>43</v>
      </c>
      <c r="B106" s="53"/>
      <c r="C106">
        <v>5358</v>
      </c>
      <c r="D106">
        <v>4657</v>
      </c>
      <c r="E106">
        <v>3329</v>
      </c>
      <c r="F106">
        <v>2797</v>
      </c>
      <c r="G106">
        <v>1723</v>
      </c>
      <c r="H106">
        <v>1094</v>
      </c>
      <c r="I106" s="314">
        <v>732</v>
      </c>
    </row>
    <row r="107" spans="1:9" hidden="1" x14ac:dyDescent="0.15">
      <c r="A107" s="208">
        <v>44</v>
      </c>
      <c r="B107" s="53"/>
      <c r="C107">
        <v>5349.96</v>
      </c>
      <c r="D107">
        <v>4840</v>
      </c>
      <c r="E107">
        <v>3424</v>
      </c>
      <c r="F107">
        <v>2946</v>
      </c>
      <c r="G107">
        <v>1823</v>
      </c>
      <c r="H107">
        <v>1162</v>
      </c>
      <c r="I107" s="314">
        <v>782</v>
      </c>
    </row>
    <row r="108" spans="1:9" hidden="1" x14ac:dyDescent="0.15">
      <c r="A108" s="208">
        <v>45</v>
      </c>
      <c r="B108" s="53"/>
      <c r="C108">
        <v>5378.24</v>
      </c>
      <c r="D108">
        <v>5017</v>
      </c>
      <c r="E108">
        <v>3535</v>
      </c>
      <c r="F108">
        <v>3108</v>
      </c>
      <c r="G108">
        <v>1930</v>
      </c>
      <c r="H108">
        <v>1235</v>
      </c>
      <c r="I108" s="314">
        <v>834</v>
      </c>
    </row>
    <row r="109" spans="1:9" hidden="1" x14ac:dyDescent="0.15">
      <c r="A109" s="208">
        <v>46</v>
      </c>
      <c r="B109" s="53"/>
      <c r="C109">
        <v>5393.89</v>
      </c>
      <c r="D109">
        <v>5195</v>
      </c>
      <c r="E109">
        <v>3660</v>
      </c>
      <c r="F109">
        <v>3282</v>
      </c>
      <c r="G109">
        <v>1967</v>
      </c>
      <c r="H109">
        <v>1314</v>
      </c>
      <c r="I109" s="314">
        <v>893</v>
      </c>
    </row>
    <row r="110" spans="1:9" hidden="1" x14ac:dyDescent="0.15">
      <c r="A110" s="208">
        <v>47</v>
      </c>
      <c r="B110" s="53"/>
      <c r="C110">
        <v>5403</v>
      </c>
      <c r="D110">
        <v>5374</v>
      </c>
      <c r="E110">
        <v>3799</v>
      </c>
      <c r="F110">
        <v>3467</v>
      </c>
      <c r="G110">
        <v>1989</v>
      </c>
      <c r="H110">
        <v>1400</v>
      </c>
      <c r="I110" s="314">
        <v>957</v>
      </c>
    </row>
    <row r="111" spans="1:9" hidden="1" x14ac:dyDescent="0.15">
      <c r="A111" s="208">
        <v>48</v>
      </c>
      <c r="B111" s="53"/>
      <c r="C111">
        <v>5603.88</v>
      </c>
      <c r="D111">
        <v>5426.26</v>
      </c>
      <c r="E111">
        <v>3952</v>
      </c>
      <c r="F111">
        <v>3493</v>
      </c>
      <c r="G111">
        <v>2036</v>
      </c>
      <c r="H111">
        <v>1493</v>
      </c>
      <c r="I111" s="314">
        <v>1026</v>
      </c>
    </row>
    <row r="112" spans="1:9" hidden="1" x14ac:dyDescent="0.15">
      <c r="A112" s="208">
        <v>49</v>
      </c>
      <c r="B112" s="53"/>
      <c r="C112">
        <v>5721</v>
      </c>
      <c r="D112">
        <v>5668</v>
      </c>
      <c r="E112">
        <v>4113</v>
      </c>
      <c r="F112">
        <v>3592</v>
      </c>
      <c r="G112">
        <v>2110</v>
      </c>
      <c r="H112">
        <v>1598</v>
      </c>
      <c r="I112" s="314">
        <v>1101</v>
      </c>
    </row>
    <row r="113" spans="1:9" hidden="1" x14ac:dyDescent="0.15">
      <c r="A113" s="208">
        <v>50</v>
      </c>
      <c r="B113" s="53"/>
      <c r="C113">
        <v>6043</v>
      </c>
      <c r="D113">
        <v>5777</v>
      </c>
      <c r="E113">
        <v>4281</v>
      </c>
      <c r="F113">
        <v>3790</v>
      </c>
      <c r="G113">
        <v>2203</v>
      </c>
      <c r="H113">
        <v>1713</v>
      </c>
      <c r="I113" s="314">
        <v>1188</v>
      </c>
    </row>
    <row r="114" spans="1:9" hidden="1" x14ac:dyDescent="0.15">
      <c r="A114" s="208">
        <v>51</v>
      </c>
      <c r="B114" s="53"/>
      <c r="C114">
        <v>6421</v>
      </c>
      <c r="D114">
        <v>5892</v>
      </c>
      <c r="E114">
        <v>4466</v>
      </c>
      <c r="F114">
        <v>4045</v>
      </c>
      <c r="G114">
        <v>2310</v>
      </c>
      <c r="H114">
        <v>1859</v>
      </c>
      <c r="I114" s="314">
        <v>1294</v>
      </c>
    </row>
    <row r="115" spans="1:9" hidden="1" x14ac:dyDescent="0.15">
      <c r="A115" s="208">
        <v>52</v>
      </c>
      <c r="B115" s="53"/>
      <c r="C115">
        <v>6813</v>
      </c>
      <c r="D115">
        <v>6037</v>
      </c>
      <c r="E115">
        <v>4677</v>
      </c>
      <c r="F115">
        <v>4317</v>
      </c>
      <c r="G115">
        <v>2430</v>
      </c>
      <c r="H115">
        <v>2014</v>
      </c>
      <c r="I115" s="314">
        <v>1409</v>
      </c>
    </row>
    <row r="116" spans="1:9" hidden="1" x14ac:dyDescent="0.15">
      <c r="A116" s="208">
        <v>53</v>
      </c>
      <c r="B116" s="53"/>
      <c r="C116">
        <v>7178</v>
      </c>
      <c r="D116">
        <v>6238</v>
      </c>
      <c r="E116">
        <v>4923</v>
      </c>
      <c r="F116">
        <v>4562</v>
      </c>
      <c r="G116">
        <v>2558</v>
      </c>
      <c r="H116">
        <v>2150</v>
      </c>
      <c r="I116" s="314">
        <v>1534</v>
      </c>
    </row>
    <row r="117" spans="1:9" hidden="1" x14ac:dyDescent="0.15">
      <c r="A117" s="208">
        <v>54</v>
      </c>
      <c r="B117" s="53"/>
      <c r="C117">
        <v>7498</v>
      </c>
      <c r="D117">
        <v>6499</v>
      </c>
      <c r="E117">
        <v>5208</v>
      </c>
      <c r="F117">
        <v>4771</v>
      </c>
      <c r="G117">
        <v>2682</v>
      </c>
      <c r="H117">
        <v>2228</v>
      </c>
      <c r="I117" s="314">
        <v>1667</v>
      </c>
    </row>
    <row r="118" spans="1:9" hidden="1" x14ac:dyDescent="0.15">
      <c r="A118" s="208">
        <v>55</v>
      </c>
      <c r="B118" s="53"/>
      <c r="C118">
        <v>7800</v>
      </c>
      <c r="D118">
        <v>6802</v>
      </c>
      <c r="E118">
        <v>5526</v>
      </c>
      <c r="F118">
        <v>4971</v>
      </c>
      <c r="G118">
        <v>2805</v>
      </c>
      <c r="H118">
        <v>2310</v>
      </c>
      <c r="I118" s="314">
        <v>1809</v>
      </c>
    </row>
    <row r="119" spans="1:9" hidden="1" x14ac:dyDescent="0.15">
      <c r="A119" s="208">
        <v>56</v>
      </c>
      <c r="B119" s="53"/>
      <c r="C119">
        <v>8112</v>
      </c>
      <c r="D119">
        <v>7143</v>
      </c>
      <c r="E119">
        <v>5871</v>
      </c>
      <c r="F119">
        <v>5178</v>
      </c>
      <c r="G119">
        <v>2945</v>
      </c>
      <c r="H119">
        <v>2404</v>
      </c>
      <c r="I119" s="314">
        <v>1962</v>
      </c>
    </row>
    <row r="120" spans="1:9" hidden="1" x14ac:dyDescent="0.15">
      <c r="A120" s="208">
        <v>57</v>
      </c>
      <c r="B120" s="53"/>
      <c r="C120">
        <v>8462</v>
      </c>
      <c r="D120">
        <v>7437</v>
      </c>
      <c r="E120">
        <v>6238</v>
      </c>
      <c r="F120">
        <v>5406</v>
      </c>
      <c r="G120">
        <v>3118</v>
      </c>
      <c r="H120">
        <v>2520</v>
      </c>
      <c r="I120" s="314">
        <v>2128</v>
      </c>
    </row>
    <row r="121" spans="1:9" hidden="1" x14ac:dyDescent="0.15">
      <c r="A121" s="208">
        <v>58</v>
      </c>
      <c r="B121" s="53"/>
      <c r="C121">
        <v>8847</v>
      </c>
      <c r="D121">
        <v>7691</v>
      </c>
      <c r="E121">
        <v>6620</v>
      </c>
      <c r="F121">
        <v>5667</v>
      </c>
      <c r="G121">
        <v>3343</v>
      </c>
      <c r="H121">
        <v>2668</v>
      </c>
      <c r="I121" s="314">
        <v>2305</v>
      </c>
    </row>
    <row r="122" spans="1:9" hidden="1" x14ac:dyDescent="0.15">
      <c r="A122" s="208">
        <v>59</v>
      </c>
      <c r="B122" s="53"/>
      <c r="C122">
        <v>9142</v>
      </c>
      <c r="D122">
        <v>7949</v>
      </c>
      <c r="E122">
        <v>6975</v>
      </c>
      <c r="F122">
        <v>5923</v>
      </c>
      <c r="G122">
        <v>3620</v>
      </c>
      <c r="H122">
        <v>2846</v>
      </c>
      <c r="I122" s="314">
        <v>2493</v>
      </c>
    </row>
    <row r="123" spans="1:9" hidden="1" x14ac:dyDescent="0.15">
      <c r="A123" s="208">
        <v>60</v>
      </c>
      <c r="B123" s="53"/>
      <c r="C123">
        <v>9436</v>
      </c>
      <c r="D123">
        <v>8204</v>
      </c>
      <c r="E123">
        <v>7309</v>
      </c>
      <c r="F123">
        <v>6166</v>
      </c>
      <c r="G123">
        <v>3938</v>
      </c>
      <c r="H123">
        <v>3048</v>
      </c>
      <c r="I123" s="314">
        <v>2569</v>
      </c>
    </row>
    <row r="124" spans="1:9" hidden="1" x14ac:dyDescent="0.15">
      <c r="A124" s="208">
        <v>61</v>
      </c>
      <c r="B124" s="53"/>
      <c r="C124">
        <v>9800</v>
      </c>
      <c r="D124">
        <v>8519</v>
      </c>
      <c r="E124">
        <v>7683</v>
      </c>
      <c r="F124">
        <v>6452</v>
      </c>
      <c r="G124">
        <v>4295</v>
      </c>
      <c r="H124">
        <v>3275</v>
      </c>
      <c r="I124" s="314">
        <v>2602</v>
      </c>
    </row>
    <row r="125" spans="1:9" hidden="1" x14ac:dyDescent="0.15">
      <c r="A125" s="208">
        <v>62</v>
      </c>
      <c r="B125" s="53"/>
      <c r="C125">
        <v>10238</v>
      </c>
      <c r="D125">
        <v>8902</v>
      </c>
      <c r="E125">
        <v>8158</v>
      </c>
      <c r="F125">
        <v>6841</v>
      </c>
      <c r="G125">
        <v>4690</v>
      </c>
      <c r="H125">
        <v>3534</v>
      </c>
      <c r="I125" s="314">
        <v>2690</v>
      </c>
    </row>
    <row r="126" spans="1:9" hidden="1" x14ac:dyDescent="0.15">
      <c r="A126" s="208">
        <v>63</v>
      </c>
      <c r="B126" s="53"/>
      <c r="C126">
        <v>10766</v>
      </c>
      <c r="D126">
        <v>9359</v>
      </c>
      <c r="E126">
        <v>8691</v>
      </c>
      <c r="F126">
        <v>7389</v>
      </c>
      <c r="G126">
        <v>5120</v>
      </c>
      <c r="H126">
        <v>3824</v>
      </c>
      <c r="I126" s="314">
        <v>2879</v>
      </c>
    </row>
    <row r="127" spans="1:9" hidden="1" x14ac:dyDescent="0.15">
      <c r="A127" s="208">
        <v>64</v>
      </c>
      <c r="B127" s="53"/>
      <c r="C127">
        <v>11387</v>
      </c>
      <c r="D127">
        <v>9903</v>
      </c>
      <c r="E127">
        <v>9186</v>
      </c>
      <c r="F127">
        <v>8101</v>
      </c>
      <c r="G127">
        <v>5542</v>
      </c>
      <c r="H127">
        <v>4132</v>
      </c>
      <c r="I127" s="314">
        <v>3208</v>
      </c>
    </row>
    <row r="128" spans="1:9" hidden="1" x14ac:dyDescent="0.15">
      <c r="A128" s="208">
        <v>65</v>
      </c>
      <c r="B128" s="53"/>
      <c r="C128">
        <v>12132</v>
      </c>
      <c r="D128">
        <v>10546</v>
      </c>
      <c r="E128">
        <v>9786</v>
      </c>
      <c r="F128">
        <v>8936</v>
      </c>
      <c r="G128">
        <v>5959</v>
      </c>
      <c r="H128">
        <v>4453</v>
      </c>
      <c r="I128" s="314">
        <v>3646</v>
      </c>
    </row>
    <row r="129" spans="1:9" hidden="1" x14ac:dyDescent="0.15">
      <c r="A129" s="208">
        <v>66</v>
      </c>
      <c r="B129" s="53"/>
      <c r="C129">
        <v>13001</v>
      </c>
      <c r="D129">
        <v>11307</v>
      </c>
      <c r="E129">
        <v>10494</v>
      </c>
      <c r="F129">
        <v>9651</v>
      </c>
      <c r="G129">
        <v>6434</v>
      </c>
      <c r="H129">
        <v>4813</v>
      </c>
      <c r="I129" s="314">
        <v>4136</v>
      </c>
    </row>
    <row r="130" spans="1:9" hidden="1" x14ac:dyDescent="0.15">
      <c r="A130" s="208">
        <v>67</v>
      </c>
      <c r="B130" s="53"/>
      <c r="C130">
        <v>14040</v>
      </c>
      <c r="D130">
        <v>12211</v>
      </c>
      <c r="E130">
        <v>11333</v>
      </c>
      <c r="F130">
        <v>10429</v>
      </c>
      <c r="G130">
        <v>7031</v>
      </c>
      <c r="H130">
        <v>5239</v>
      </c>
      <c r="I130" s="314">
        <v>4614</v>
      </c>
    </row>
    <row r="131" spans="1:9" hidden="1" x14ac:dyDescent="0.15">
      <c r="A131" s="208">
        <v>68</v>
      </c>
      <c r="B131" s="53"/>
      <c r="C131">
        <v>15236</v>
      </c>
      <c r="D131">
        <v>13244</v>
      </c>
      <c r="E131">
        <v>12295</v>
      </c>
      <c r="F131">
        <v>11307</v>
      </c>
      <c r="G131">
        <v>7818</v>
      </c>
      <c r="H131">
        <v>5754</v>
      </c>
      <c r="I131" s="314">
        <v>5013</v>
      </c>
    </row>
    <row r="132" spans="1:9" hidden="1" x14ac:dyDescent="0.15">
      <c r="A132" s="208">
        <v>69</v>
      </c>
      <c r="B132" s="53"/>
      <c r="C132">
        <v>16625</v>
      </c>
      <c r="D132">
        <v>14458</v>
      </c>
      <c r="E132">
        <v>13415</v>
      </c>
      <c r="F132">
        <v>12348</v>
      </c>
      <c r="G132">
        <v>8334</v>
      </c>
      <c r="H132">
        <v>6325</v>
      </c>
      <c r="I132" s="314">
        <v>5300</v>
      </c>
    </row>
    <row r="133" spans="1:9" hidden="1" x14ac:dyDescent="0.15">
      <c r="A133" s="208">
        <v>70</v>
      </c>
      <c r="B133" s="53"/>
      <c r="C133">
        <v>18234</v>
      </c>
      <c r="D133">
        <v>15857</v>
      </c>
      <c r="E133">
        <v>14585</v>
      </c>
      <c r="F133">
        <v>13742</v>
      </c>
      <c r="G133">
        <v>9215</v>
      </c>
      <c r="H133">
        <v>6934</v>
      </c>
      <c r="I133" s="314">
        <v>5481</v>
      </c>
    </row>
    <row r="134" spans="1:9" hidden="1" x14ac:dyDescent="0.15">
      <c r="A134" s="208">
        <v>71</v>
      </c>
      <c r="B134" s="53"/>
      <c r="C134">
        <v>20083</v>
      </c>
      <c r="D134">
        <v>17465</v>
      </c>
      <c r="E134">
        <v>16203</v>
      </c>
      <c r="F134">
        <v>15132</v>
      </c>
      <c r="G134">
        <v>10151</v>
      </c>
      <c r="H134">
        <v>7634</v>
      </c>
      <c r="I134" s="314">
        <v>5665</v>
      </c>
    </row>
    <row r="135" spans="1:9" hidden="1" x14ac:dyDescent="0.15">
      <c r="A135" s="208">
        <v>72</v>
      </c>
      <c r="B135" s="53"/>
      <c r="C135">
        <v>22215</v>
      </c>
      <c r="D135">
        <v>19317</v>
      </c>
      <c r="E135">
        <v>17928</v>
      </c>
      <c r="F135">
        <v>16747</v>
      </c>
      <c r="G135">
        <v>11235</v>
      </c>
      <c r="H135">
        <v>8475</v>
      </c>
      <c r="I135" s="314">
        <v>5952</v>
      </c>
    </row>
    <row r="136" spans="1:9" hidden="1" x14ac:dyDescent="0.15">
      <c r="A136" s="208">
        <v>73</v>
      </c>
      <c r="B136" s="53"/>
      <c r="C136">
        <v>24675</v>
      </c>
      <c r="D136">
        <v>21455</v>
      </c>
      <c r="E136">
        <v>19905</v>
      </c>
      <c r="F136">
        <v>18592</v>
      </c>
      <c r="G136">
        <v>12468</v>
      </c>
      <c r="H136">
        <v>9508</v>
      </c>
      <c r="I136" s="314">
        <v>6361</v>
      </c>
    </row>
    <row r="137" spans="1:9" hidden="1" x14ac:dyDescent="0.15">
      <c r="A137" s="208">
        <v>74</v>
      </c>
      <c r="B137" s="53"/>
      <c r="C137">
        <v>26652</v>
      </c>
      <c r="D137">
        <v>23917</v>
      </c>
      <c r="E137">
        <v>22193</v>
      </c>
      <c r="F137">
        <v>20732</v>
      </c>
      <c r="G137">
        <v>13906</v>
      </c>
      <c r="H137">
        <v>10263</v>
      </c>
      <c r="I137" s="314">
        <v>6623</v>
      </c>
    </row>
    <row r="138" spans="1:9" hidden="1" x14ac:dyDescent="0.15">
      <c r="A138" s="208">
        <v>75</v>
      </c>
      <c r="B138" s="53"/>
      <c r="C138">
        <v>27736</v>
      </c>
      <c r="D138">
        <v>26747</v>
      </c>
      <c r="E138">
        <v>24718</v>
      </c>
      <c r="F138">
        <v>22226</v>
      </c>
      <c r="G138">
        <v>15604</v>
      </c>
      <c r="H138">
        <v>10846</v>
      </c>
      <c r="I138" s="314">
        <v>6904</v>
      </c>
    </row>
    <row r="139" spans="1:9" hidden="1" x14ac:dyDescent="0.15">
      <c r="A139" s="208">
        <v>76</v>
      </c>
      <c r="B139" s="53"/>
      <c r="C139">
        <v>28862</v>
      </c>
      <c r="D139">
        <v>27944</v>
      </c>
      <c r="E139">
        <v>26274</v>
      </c>
      <c r="F139">
        <v>23305</v>
      </c>
      <c r="G139">
        <v>17105</v>
      </c>
      <c r="H139">
        <v>11461</v>
      </c>
      <c r="I139" s="314">
        <v>7203</v>
      </c>
    </row>
    <row r="140" spans="1:9" hidden="1" x14ac:dyDescent="0.15">
      <c r="A140" s="208">
        <v>77</v>
      </c>
      <c r="B140" s="53"/>
      <c r="C140">
        <v>30029</v>
      </c>
      <c r="D140">
        <v>29135</v>
      </c>
      <c r="E140">
        <v>27451</v>
      </c>
      <c r="F140">
        <v>24425</v>
      </c>
      <c r="G140">
        <v>18060</v>
      </c>
      <c r="H140">
        <v>12109</v>
      </c>
      <c r="I140" s="314">
        <v>7521</v>
      </c>
    </row>
    <row r="141" spans="1:9" hidden="1" x14ac:dyDescent="0.15">
      <c r="A141" s="208">
        <v>78</v>
      </c>
      <c r="B141" s="53"/>
      <c r="C141">
        <v>31238</v>
      </c>
      <c r="D141">
        <v>30369</v>
      </c>
      <c r="E141">
        <v>28670</v>
      </c>
      <c r="F141">
        <v>25586</v>
      </c>
      <c r="G141">
        <v>19057</v>
      </c>
      <c r="H141">
        <v>12790</v>
      </c>
      <c r="I141" s="314">
        <v>7859</v>
      </c>
    </row>
    <row r="142" spans="1:9" hidden="1" x14ac:dyDescent="0.15">
      <c r="A142" s="208">
        <v>79</v>
      </c>
      <c r="B142" s="53"/>
      <c r="C142">
        <v>32489</v>
      </c>
      <c r="D142">
        <v>31648</v>
      </c>
      <c r="E142">
        <v>29932</v>
      </c>
      <c r="F142">
        <v>26789</v>
      </c>
      <c r="G142">
        <v>20094</v>
      </c>
      <c r="H142">
        <v>13504</v>
      </c>
      <c r="I142" s="314">
        <v>8217</v>
      </c>
    </row>
    <row r="143" spans="1:9" hidden="1" x14ac:dyDescent="0.15">
      <c r="A143" s="208">
        <v>80</v>
      </c>
      <c r="B143" s="53"/>
      <c r="C143">
        <v>33782</v>
      </c>
      <c r="D143">
        <v>32972</v>
      </c>
      <c r="E143">
        <v>31237</v>
      </c>
      <c r="F143">
        <v>28034</v>
      </c>
      <c r="G143">
        <v>21173</v>
      </c>
      <c r="H143">
        <v>14252</v>
      </c>
      <c r="I143" s="314">
        <v>8594</v>
      </c>
    </row>
    <row r="144" spans="1:9" hidden="1" x14ac:dyDescent="0.15">
      <c r="A144" s="208">
        <v>81</v>
      </c>
      <c r="B144" s="53"/>
      <c r="C144">
        <v>33782</v>
      </c>
      <c r="D144">
        <v>32972</v>
      </c>
      <c r="E144">
        <v>31237</v>
      </c>
      <c r="F144">
        <v>28034</v>
      </c>
      <c r="G144">
        <v>21173</v>
      </c>
      <c r="H144">
        <v>14252</v>
      </c>
      <c r="I144" s="314">
        <v>8594</v>
      </c>
    </row>
    <row r="145" spans="1:9" hidden="1" x14ac:dyDescent="0.15">
      <c r="A145" s="208">
        <v>82</v>
      </c>
      <c r="B145" s="53"/>
      <c r="C145">
        <v>33782</v>
      </c>
      <c r="D145">
        <v>32972</v>
      </c>
      <c r="E145">
        <v>31237</v>
      </c>
      <c r="F145">
        <v>28034</v>
      </c>
      <c r="G145">
        <v>21173</v>
      </c>
      <c r="H145">
        <v>14252</v>
      </c>
      <c r="I145" s="314">
        <v>8594</v>
      </c>
    </row>
    <row r="146" spans="1:9" hidden="1" x14ac:dyDescent="0.15">
      <c r="A146" s="208">
        <v>83</v>
      </c>
      <c r="B146" s="53"/>
      <c r="C146">
        <v>33782</v>
      </c>
      <c r="D146">
        <v>32972</v>
      </c>
      <c r="E146">
        <v>31237</v>
      </c>
      <c r="F146">
        <v>28034</v>
      </c>
      <c r="G146">
        <v>21173</v>
      </c>
      <c r="H146">
        <v>14252</v>
      </c>
      <c r="I146" s="314">
        <v>8594</v>
      </c>
    </row>
    <row r="147" spans="1:9" s="54" customFormat="1" hidden="1" x14ac:dyDescent="0.15">
      <c r="A147" s="208">
        <v>84</v>
      </c>
      <c r="B147" s="53" t="s">
        <v>134</v>
      </c>
      <c r="C147">
        <v>33782</v>
      </c>
      <c r="D147">
        <v>32972</v>
      </c>
      <c r="E147">
        <v>31237</v>
      </c>
      <c r="F147">
        <v>28034</v>
      </c>
      <c r="G147">
        <v>21173</v>
      </c>
      <c r="H147">
        <v>14252</v>
      </c>
      <c r="I147" s="314">
        <v>8594</v>
      </c>
    </row>
    <row r="148" spans="1:9" hidden="1" x14ac:dyDescent="0.15">
      <c r="A148" s="206">
        <v>1</v>
      </c>
      <c r="B148" s="207" t="s">
        <v>135</v>
      </c>
      <c r="C148">
        <v>1133</v>
      </c>
      <c r="D148">
        <v>1057</v>
      </c>
      <c r="E148">
        <v>715</v>
      </c>
      <c r="F148">
        <v>649</v>
      </c>
      <c r="G148">
        <v>381</v>
      </c>
      <c r="H148">
        <v>279</v>
      </c>
      <c r="I148">
        <v>169</v>
      </c>
    </row>
    <row r="149" spans="1:9" hidden="1" x14ac:dyDescent="0.15">
      <c r="A149" s="208">
        <v>2</v>
      </c>
      <c r="B149" s="53" t="s">
        <v>136</v>
      </c>
      <c r="C149">
        <v>2047</v>
      </c>
      <c r="D149">
        <v>1907</v>
      </c>
      <c r="E149">
        <v>1308</v>
      </c>
      <c r="F149">
        <v>1094</v>
      </c>
      <c r="G149">
        <v>588</v>
      </c>
      <c r="H149">
        <v>425</v>
      </c>
      <c r="I149">
        <v>338</v>
      </c>
    </row>
    <row r="150" spans="1:9" hidden="1" x14ac:dyDescent="0.15">
      <c r="A150" s="210">
        <v>3</v>
      </c>
      <c r="B150" s="203" t="s">
        <v>137</v>
      </c>
      <c r="C150">
        <v>2917</v>
      </c>
      <c r="D150">
        <v>2709</v>
      </c>
      <c r="E150">
        <v>1876</v>
      </c>
      <c r="F150">
        <v>1515</v>
      </c>
      <c r="G150">
        <v>814</v>
      </c>
      <c r="H150">
        <v>638</v>
      </c>
      <c r="I150">
        <v>507</v>
      </c>
    </row>
    <row r="152" spans="1:9" ht="18" hidden="1" x14ac:dyDescent="0.2">
      <c r="A152" s="611" t="s">
        <v>151</v>
      </c>
      <c r="B152" s="612"/>
      <c r="C152" s="612"/>
      <c r="D152" s="612"/>
      <c r="E152" s="612"/>
      <c r="F152" s="612"/>
      <c r="G152" s="612"/>
      <c r="H152" s="613"/>
      <c r="I152" s="311"/>
    </row>
    <row r="153" spans="1:9" ht="18" hidden="1" x14ac:dyDescent="0.2">
      <c r="A153" s="614" t="s">
        <v>152</v>
      </c>
      <c r="B153" s="615"/>
      <c r="C153" s="615"/>
      <c r="D153" s="615"/>
      <c r="E153" s="615"/>
      <c r="F153" s="615"/>
      <c r="G153" s="615"/>
      <c r="H153" s="616"/>
      <c r="I153" s="311"/>
    </row>
    <row r="154" spans="1:9" hidden="1" x14ac:dyDescent="0.15">
      <c r="A154" s="617"/>
      <c r="B154" s="618"/>
      <c r="C154" s="618"/>
      <c r="D154" s="618"/>
      <c r="E154" s="618"/>
      <c r="F154" s="618"/>
      <c r="G154" s="618"/>
      <c r="H154" s="619"/>
      <c r="I154" s="312"/>
    </row>
    <row r="155" spans="1:9" hidden="1" x14ac:dyDescent="0.15">
      <c r="A155" s="609" t="s">
        <v>153</v>
      </c>
      <c r="B155" s="610"/>
      <c r="C155" s="246">
        <v>0</v>
      </c>
      <c r="D155" s="246">
        <v>1000</v>
      </c>
      <c r="E155" s="246">
        <v>2000</v>
      </c>
      <c r="F155" s="246">
        <v>5000</v>
      </c>
      <c r="G155" s="246">
        <v>10000</v>
      </c>
      <c r="H155" s="247">
        <v>20000</v>
      </c>
      <c r="I155" s="313"/>
    </row>
    <row r="156" spans="1:9" ht="14" hidden="1" x14ac:dyDescent="0.15">
      <c r="A156" s="248">
        <v>18</v>
      </c>
      <c r="B156" s="310" t="s">
        <v>141</v>
      </c>
      <c r="C156" s="307">
        <v>5706</v>
      </c>
      <c r="D156" s="308">
        <v>5827</v>
      </c>
      <c r="E156" s="308">
        <v>4997</v>
      </c>
      <c r="F156" s="308">
        <v>3984</v>
      </c>
      <c r="G156" s="308">
        <v>2769</v>
      </c>
      <c r="H156" s="309">
        <v>2119</v>
      </c>
      <c r="I156"/>
    </row>
    <row r="157" spans="1:9" ht="14" hidden="1" x14ac:dyDescent="0.15">
      <c r="A157" s="248">
        <v>19</v>
      </c>
      <c r="B157" s="310" t="s">
        <v>142</v>
      </c>
      <c r="C157" s="307">
        <v>6626</v>
      </c>
      <c r="D157" s="308">
        <v>6790</v>
      </c>
      <c r="E157" s="308">
        <v>5646</v>
      </c>
      <c r="F157" s="308">
        <v>4424</v>
      </c>
      <c r="G157" s="308">
        <v>3088</v>
      </c>
      <c r="H157" s="309">
        <v>2352</v>
      </c>
      <c r="I157"/>
    </row>
    <row r="158" spans="1:9" ht="14" hidden="1" x14ac:dyDescent="0.15">
      <c r="A158" s="248">
        <v>20</v>
      </c>
      <c r="B158" s="310" t="s">
        <v>143</v>
      </c>
      <c r="C158" s="307">
        <v>7524</v>
      </c>
      <c r="D158" s="308">
        <v>7730</v>
      </c>
      <c r="E158" s="308">
        <v>6377</v>
      </c>
      <c r="F158" s="308">
        <v>5117</v>
      </c>
      <c r="G158" s="308">
        <v>3550</v>
      </c>
      <c r="H158" s="309">
        <v>2705</v>
      </c>
      <c r="I158"/>
    </row>
    <row r="159" spans="1:9" ht="14" hidden="1" x14ac:dyDescent="0.15">
      <c r="A159" s="248">
        <v>21</v>
      </c>
      <c r="B159" s="310" t="s">
        <v>144</v>
      </c>
      <c r="C159" s="307">
        <v>8410</v>
      </c>
      <c r="D159" s="308">
        <v>8509</v>
      </c>
      <c r="E159" s="308">
        <v>7371</v>
      </c>
      <c r="F159" s="308">
        <v>5683</v>
      </c>
      <c r="G159" s="308">
        <v>3937</v>
      </c>
      <c r="H159" s="309">
        <v>2994</v>
      </c>
      <c r="I159"/>
    </row>
    <row r="160" spans="1:9" ht="14" hidden="1" x14ac:dyDescent="0.15">
      <c r="A160" s="248">
        <v>22</v>
      </c>
      <c r="B160" s="310" t="s">
        <v>145</v>
      </c>
      <c r="C160" s="307">
        <v>9292</v>
      </c>
      <c r="D160" s="308">
        <v>9292</v>
      </c>
      <c r="E160" s="308">
        <v>8560</v>
      </c>
      <c r="F160" s="308">
        <v>6408</v>
      </c>
      <c r="G160" s="308">
        <v>4448</v>
      </c>
      <c r="H160" s="309">
        <v>3364</v>
      </c>
      <c r="I160"/>
    </row>
    <row r="161" spans="1:9" ht="14" hidden="1" x14ac:dyDescent="0.15">
      <c r="A161" s="248">
        <v>23</v>
      </c>
      <c r="B161" s="310" t="s">
        <v>146</v>
      </c>
      <c r="C161" s="307">
        <v>10174</v>
      </c>
      <c r="D161" s="308">
        <v>10505</v>
      </c>
      <c r="E161" s="308">
        <v>10049</v>
      </c>
      <c r="F161" s="308">
        <v>7453</v>
      </c>
      <c r="G161" s="308">
        <v>5153</v>
      </c>
      <c r="H161" s="309">
        <v>3895</v>
      </c>
      <c r="I161"/>
    </row>
    <row r="162" spans="1:9" ht="14" hidden="1" x14ac:dyDescent="0.15">
      <c r="A162" s="248">
        <v>24</v>
      </c>
      <c r="B162" s="310" t="s">
        <v>147</v>
      </c>
      <c r="C162" s="307">
        <v>11068</v>
      </c>
      <c r="D162" s="308">
        <v>11440</v>
      </c>
      <c r="E162" s="308">
        <v>10776</v>
      </c>
      <c r="F162" s="308">
        <v>8003</v>
      </c>
      <c r="G162" s="308">
        <v>5642</v>
      </c>
      <c r="H162" s="309">
        <v>4251</v>
      </c>
      <c r="I162"/>
    </row>
    <row r="163" spans="1:9" ht="14" hidden="1" x14ac:dyDescent="0.15">
      <c r="A163" s="248">
        <v>25</v>
      </c>
      <c r="B163" s="310" t="s">
        <v>148</v>
      </c>
      <c r="C163" s="307">
        <v>11979</v>
      </c>
      <c r="D163" s="308">
        <v>12395</v>
      </c>
      <c r="E163" s="308">
        <v>11530</v>
      </c>
      <c r="F163" s="308">
        <v>8571</v>
      </c>
      <c r="G163" s="308">
        <v>6683</v>
      </c>
      <c r="H163" s="309">
        <v>5014</v>
      </c>
      <c r="I163"/>
    </row>
    <row r="164" spans="1:9" ht="14" hidden="1" x14ac:dyDescent="0.15">
      <c r="A164" s="248">
        <v>26</v>
      </c>
      <c r="B164" s="310" t="s">
        <v>154</v>
      </c>
      <c r="C164" s="307">
        <v>12915</v>
      </c>
      <c r="D164" s="308">
        <v>13375</v>
      </c>
      <c r="E164" s="308">
        <v>12323</v>
      </c>
      <c r="F164" s="308">
        <v>9183</v>
      </c>
      <c r="G164" s="308">
        <v>7059</v>
      </c>
      <c r="H164" s="309">
        <v>5301</v>
      </c>
      <c r="I164"/>
    </row>
    <row r="165" spans="1:9" ht="14" hidden="1" x14ac:dyDescent="0.15">
      <c r="A165" s="248">
        <v>27</v>
      </c>
      <c r="B165" s="310" t="s">
        <v>155</v>
      </c>
      <c r="C165" s="307">
        <v>13885</v>
      </c>
      <c r="D165" s="308">
        <v>14391</v>
      </c>
      <c r="E165" s="308">
        <v>13165</v>
      </c>
      <c r="F165" s="308">
        <v>9855</v>
      </c>
      <c r="G165" s="308">
        <v>7944</v>
      </c>
      <c r="H165" s="309">
        <v>5969</v>
      </c>
      <c r="I165"/>
    </row>
    <row r="166" spans="1:9" ht="14" hidden="1" x14ac:dyDescent="0.15">
      <c r="A166" s="248">
        <v>28</v>
      </c>
      <c r="B166" s="310" t="s">
        <v>156</v>
      </c>
      <c r="C166" s="307">
        <v>14895</v>
      </c>
      <c r="D166" s="308">
        <v>15448</v>
      </c>
      <c r="E166" s="308">
        <v>14067</v>
      </c>
      <c r="F166" s="308">
        <v>10603</v>
      </c>
      <c r="G166" s="308">
        <v>8823</v>
      </c>
      <c r="H166" s="309">
        <v>6633</v>
      </c>
      <c r="I166"/>
    </row>
    <row r="167" spans="1:9" ht="14" hidden="1" x14ac:dyDescent="0.15">
      <c r="A167" s="248">
        <v>29</v>
      </c>
      <c r="B167" s="310" t="s">
        <v>157</v>
      </c>
      <c r="C167" s="307">
        <v>15953</v>
      </c>
      <c r="D167" s="308">
        <v>16557</v>
      </c>
      <c r="E167" s="308">
        <v>15043</v>
      </c>
      <c r="F167" s="308">
        <v>11437</v>
      </c>
      <c r="G167" s="308">
        <v>9700</v>
      </c>
      <c r="H167" s="309">
        <v>7284</v>
      </c>
      <c r="I167"/>
    </row>
    <row r="168" spans="1:9" ht="14" hidden="1" x14ac:dyDescent="0.15">
      <c r="A168" s="248">
        <v>30</v>
      </c>
      <c r="B168" s="310" t="s">
        <v>158</v>
      </c>
      <c r="C168" s="307">
        <v>16991</v>
      </c>
      <c r="D168" s="308">
        <v>17643</v>
      </c>
      <c r="E168" s="308">
        <v>16049</v>
      </c>
      <c r="F168" s="308">
        <v>12357</v>
      </c>
      <c r="G168" s="308">
        <v>10477</v>
      </c>
      <c r="H168" s="309">
        <v>7944</v>
      </c>
      <c r="I168"/>
    </row>
    <row r="169" spans="1:9" ht="14" hidden="1" x14ac:dyDescent="0.15">
      <c r="A169" s="248">
        <v>31</v>
      </c>
      <c r="B169" s="310" t="s">
        <v>159</v>
      </c>
      <c r="C169" s="307">
        <v>18012</v>
      </c>
      <c r="D169" s="308">
        <v>18711</v>
      </c>
      <c r="E169" s="308">
        <v>17093</v>
      </c>
      <c r="F169" s="308">
        <v>13369</v>
      </c>
      <c r="G169" s="308">
        <v>10642</v>
      </c>
      <c r="H169" s="309">
        <v>7974</v>
      </c>
      <c r="I169"/>
    </row>
    <row r="170" spans="1:9" ht="14" hidden="1" x14ac:dyDescent="0.15">
      <c r="A170" s="248">
        <v>32</v>
      </c>
      <c r="B170" s="310" t="s">
        <v>160</v>
      </c>
      <c r="C170" s="307">
        <v>19134</v>
      </c>
      <c r="D170" s="308">
        <v>19886</v>
      </c>
      <c r="E170" s="308">
        <v>18259</v>
      </c>
      <c r="F170" s="308">
        <v>14502</v>
      </c>
      <c r="G170" s="308">
        <v>10691</v>
      </c>
      <c r="H170" s="309">
        <v>7989</v>
      </c>
      <c r="I170"/>
    </row>
    <row r="171" spans="1:9" ht="14" hidden="1" x14ac:dyDescent="0.15">
      <c r="A171" s="248">
        <v>33</v>
      </c>
      <c r="B171" s="310" t="s">
        <v>161</v>
      </c>
      <c r="C171" s="307">
        <v>20471</v>
      </c>
      <c r="D171" s="308">
        <v>21287</v>
      </c>
      <c r="E171" s="308">
        <v>19624</v>
      </c>
      <c r="F171" s="308">
        <v>15787</v>
      </c>
      <c r="G171" s="308">
        <v>11762</v>
      </c>
      <c r="H171" s="309">
        <v>8878</v>
      </c>
      <c r="I171"/>
    </row>
    <row r="172" spans="1:9" ht="14" hidden="1" x14ac:dyDescent="0.15">
      <c r="A172" s="248">
        <v>34</v>
      </c>
      <c r="B172" s="310" t="s">
        <v>162</v>
      </c>
      <c r="C172" s="307">
        <v>22141</v>
      </c>
      <c r="D172" s="308">
        <v>23034</v>
      </c>
      <c r="E172" s="308">
        <v>21277</v>
      </c>
      <c r="F172" s="308">
        <v>17251</v>
      </c>
      <c r="G172" s="308">
        <v>12642</v>
      </c>
      <c r="H172" s="309">
        <v>9771</v>
      </c>
      <c r="I172"/>
    </row>
    <row r="173" spans="1:9" ht="14" hidden="1" x14ac:dyDescent="0.15">
      <c r="A173" s="248">
        <v>35</v>
      </c>
      <c r="B173" s="310" t="s">
        <v>163</v>
      </c>
      <c r="C173" s="307">
        <v>24246</v>
      </c>
      <c r="D173" s="308">
        <v>25239</v>
      </c>
      <c r="E173" s="308">
        <v>23305</v>
      </c>
      <c r="F173" s="308">
        <v>18961</v>
      </c>
      <c r="G173" s="308">
        <v>13642</v>
      </c>
      <c r="H173" s="309">
        <v>10219</v>
      </c>
      <c r="I173"/>
    </row>
    <row r="174" spans="1:9" ht="14" hidden="1" x14ac:dyDescent="0.15">
      <c r="A174" s="248">
        <v>36</v>
      </c>
      <c r="B174" s="310" t="s">
        <v>164</v>
      </c>
      <c r="C174" s="307">
        <v>26707</v>
      </c>
      <c r="D174" s="308">
        <v>27816</v>
      </c>
      <c r="E174" s="308">
        <v>25655</v>
      </c>
      <c r="F174" s="308">
        <v>20008</v>
      </c>
      <c r="G174" s="308">
        <v>13791</v>
      </c>
      <c r="H174" s="309">
        <v>10270</v>
      </c>
      <c r="I174"/>
    </row>
    <row r="175" spans="1:9" ht="14" hidden="1" x14ac:dyDescent="0.15">
      <c r="A175" s="248">
        <v>37</v>
      </c>
      <c r="B175" s="310" t="s">
        <v>165</v>
      </c>
      <c r="C175" s="307">
        <v>29374</v>
      </c>
      <c r="D175" s="308">
        <v>30608</v>
      </c>
      <c r="E175" s="308">
        <v>28188</v>
      </c>
      <c r="F175" s="308">
        <v>22499</v>
      </c>
      <c r="G175" s="308">
        <v>15503</v>
      </c>
      <c r="H175" s="309">
        <v>11546</v>
      </c>
      <c r="I175"/>
    </row>
    <row r="176" spans="1:9" ht="14" hidden="1" x14ac:dyDescent="0.15">
      <c r="A176" s="248">
        <v>38</v>
      </c>
      <c r="B176" s="310" t="s">
        <v>166</v>
      </c>
      <c r="C176" s="307">
        <v>32092</v>
      </c>
      <c r="D176" s="308">
        <v>33454</v>
      </c>
      <c r="E176" s="308">
        <v>30767</v>
      </c>
      <c r="F176" s="308">
        <v>24996</v>
      </c>
      <c r="G176" s="308">
        <v>17221</v>
      </c>
      <c r="H176" s="309">
        <v>12832</v>
      </c>
      <c r="I176"/>
    </row>
    <row r="177" spans="1:9" ht="14" hidden="1" x14ac:dyDescent="0.15">
      <c r="A177" s="248">
        <v>39</v>
      </c>
      <c r="B177" s="310" t="s">
        <v>167</v>
      </c>
      <c r="C177" s="307">
        <v>34707</v>
      </c>
      <c r="D177" s="308">
        <v>36193</v>
      </c>
      <c r="E177" s="308">
        <v>33257</v>
      </c>
      <c r="F177" s="308">
        <v>27091</v>
      </c>
      <c r="G177" s="308">
        <v>18947</v>
      </c>
      <c r="H177" s="309">
        <v>14106</v>
      </c>
      <c r="I177"/>
    </row>
    <row r="178" spans="1:9" ht="14" hidden="1" x14ac:dyDescent="0.15">
      <c r="A178" s="248">
        <v>40</v>
      </c>
      <c r="B178" s="310" t="s">
        <v>168</v>
      </c>
      <c r="C178" s="307">
        <v>37219</v>
      </c>
      <c r="D178" s="308">
        <v>38823</v>
      </c>
      <c r="E178" s="308">
        <v>35653</v>
      </c>
      <c r="F178" s="308">
        <v>29058</v>
      </c>
      <c r="G178" s="308">
        <v>20665</v>
      </c>
      <c r="H178" s="309">
        <v>15390</v>
      </c>
      <c r="I178"/>
    </row>
    <row r="179" spans="1:9" ht="14" hidden="1" x14ac:dyDescent="0.15">
      <c r="A179" s="248">
        <v>41</v>
      </c>
      <c r="B179" s="310" t="s">
        <v>169</v>
      </c>
      <c r="C179" s="307">
        <v>39732</v>
      </c>
      <c r="D179" s="308">
        <v>41455</v>
      </c>
      <c r="E179" s="308">
        <v>38048</v>
      </c>
      <c r="F179" s="308">
        <v>31027</v>
      </c>
      <c r="G179" s="308">
        <v>22601</v>
      </c>
      <c r="H179" s="309">
        <v>16812</v>
      </c>
      <c r="I179"/>
    </row>
    <row r="180" spans="1:9" ht="14" hidden="1" x14ac:dyDescent="0.15">
      <c r="A180" s="328">
        <v>1</v>
      </c>
      <c r="B180" s="329" t="s">
        <v>170</v>
      </c>
      <c r="C180" s="330">
        <v>1762</v>
      </c>
      <c r="D180" s="331">
        <v>1751</v>
      </c>
      <c r="E180" s="331">
        <v>1670</v>
      </c>
      <c r="F180" s="331">
        <v>1209</v>
      </c>
      <c r="G180" s="331">
        <v>983</v>
      </c>
      <c r="H180" s="332">
        <v>801</v>
      </c>
      <c r="I180"/>
    </row>
    <row r="181" spans="1:9" ht="14" hidden="1" x14ac:dyDescent="0.15">
      <c r="A181" s="318">
        <v>2</v>
      </c>
      <c r="B181" s="319" t="s">
        <v>171</v>
      </c>
      <c r="C181" s="307">
        <v>3211</v>
      </c>
      <c r="D181" s="308">
        <v>3361</v>
      </c>
      <c r="E181" s="308">
        <v>2944</v>
      </c>
      <c r="F181" s="308">
        <v>2358</v>
      </c>
      <c r="G181" s="308">
        <v>1697</v>
      </c>
      <c r="H181" s="309">
        <v>1328</v>
      </c>
      <c r="I181"/>
    </row>
    <row r="182" spans="1:9" ht="14" hidden="1" x14ac:dyDescent="0.15">
      <c r="A182" s="320">
        <v>3</v>
      </c>
      <c r="B182" s="321" t="s">
        <v>172</v>
      </c>
      <c r="C182" s="315">
        <v>4595</v>
      </c>
      <c r="D182" s="316">
        <v>4810</v>
      </c>
      <c r="E182" s="316">
        <v>4221</v>
      </c>
      <c r="F182" s="316">
        <v>3477</v>
      </c>
      <c r="G182" s="316">
        <v>2465</v>
      </c>
      <c r="H182" s="317">
        <v>1990</v>
      </c>
      <c r="I182"/>
    </row>
    <row r="183" spans="1:9" hidden="1" x14ac:dyDescent="0.15">
      <c r="A183" s="318">
        <v>1</v>
      </c>
      <c r="B183" s="322" t="s">
        <v>149</v>
      </c>
      <c r="C183" s="323">
        <v>225</v>
      </c>
      <c r="D183" s="323">
        <v>225</v>
      </c>
      <c r="E183" s="323">
        <v>225</v>
      </c>
      <c r="F183" s="323">
        <v>225</v>
      </c>
      <c r="G183" s="323">
        <v>225</v>
      </c>
      <c r="H183" s="324">
        <v>225</v>
      </c>
    </row>
    <row r="184" spans="1:9" hidden="1" x14ac:dyDescent="0.15">
      <c r="A184" s="320">
        <v>1</v>
      </c>
      <c r="B184" s="325" t="s">
        <v>150</v>
      </c>
      <c r="C184" s="326">
        <v>300</v>
      </c>
      <c r="D184" s="326">
        <v>300</v>
      </c>
      <c r="E184" s="326">
        <v>300</v>
      </c>
      <c r="F184" s="326">
        <v>300</v>
      </c>
      <c r="G184" s="326">
        <v>300</v>
      </c>
      <c r="H184" s="327">
        <v>300</v>
      </c>
    </row>
  </sheetData>
  <sheetProtection algorithmName="SHA-512" hashValue="pD1gFf3D+1MuqLY5Xu9O6yMppGs9el3BgLcap9owYffl3aN8KGxfQhUFIEmL1ZnPsJKYC6c1DxFWCyI4vgRjWg==" saltValue="9aG0AAsnT9V0PuJRCFvkIw==" spinCount="100000" sheet="1" selectLockedCells="1"/>
  <mergeCells count="12">
    <mergeCell ref="A79:I79"/>
    <mergeCell ref="A2:I2"/>
    <mergeCell ref="A3:I3"/>
    <mergeCell ref="A4:I4"/>
    <mergeCell ref="A77:I77"/>
    <mergeCell ref="A78:I78"/>
    <mergeCell ref="A5:B5"/>
    <mergeCell ref="A155:B155"/>
    <mergeCell ref="A152:H152"/>
    <mergeCell ref="A153:H153"/>
    <mergeCell ref="A154:H154"/>
    <mergeCell ref="A80:B80"/>
  </mergeCells>
  <conditionalFormatting sqref="A5:G5 A1:XFD1 A76:XFD76 A6:B75 A3 A78 G73:XFD75 J2:XFD4 J77:XFD79 A185:XFD1048576 J152:XFD182 I183:XFD184 H5:XFD72 G6:G72 A80:XFD151">
    <cfRule type="containsText" dxfId="17" priority="19" operator="containsText" text="TRUE">
      <formula>NOT(ISERROR(SEARCH("TRUE",A1)))</formula>
    </cfRule>
    <cfRule type="containsText" dxfId="16" priority="20" operator="containsText" text="FALSE">
      <formula>NOT(ISERROR(SEARCH("FALSE",A1)))</formula>
    </cfRule>
  </conditionalFormatting>
  <conditionalFormatting sqref="A2">
    <cfRule type="containsText" dxfId="15" priority="3" operator="containsText" text="TRUE">
      <formula>NOT(ISERROR(SEARCH("TRUE",A2)))</formula>
    </cfRule>
    <cfRule type="containsText" dxfId="14" priority="4" operator="containsText" text="FALSE">
      <formula>NOT(ISERROR(SEARCH("FALSE",A2)))</formula>
    </cfRule>
  </conditionalFormatting>
  <conditionalFormatting sqref="A77">
    <cfRule type="containsText" dxfId="13" priority="1" operator="containsText" text="TRUE">
      <formula>NOT(ISERROR(SEARCH("TRUE",A77)))</formula>
    </cfRule>
    <cfRule type="containsText" dxfId="12" priority="2" operator="containsText" text="FALSE">
      <formula>NOT(ISERROR(SEARCH("FALSE",A77)))</formula>
    </cfRule>
  </conditionalFormatting>
  <pageMargins left="0.74803149606299213" right="0.74803149606299213" top="0.98425196850393704" bottom="0.98425196850393704" header="0.51181102362204722" footer="0.51181102362204722"/>
  <pageSetup paperSize="9" orientation="landscape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>
    <pageSetUpPr fitToPage="1"/>
  </sheetPr>
  <dimension ref="A2:I225"/>
  <sheetViews>
    <sheetView showGridLines="0" topLeftCell="A1048576" zoomScaleNormal="100" workbookViewId="0">
      <selection sqref="A1:XFD1048576"/>
    </sheetView>
  </sheetViews>
  <sheetFormatPr baseColWidth="10" defaultColWidth="8.83203125" defaultRowHeight="13" zeroHeight="1" x14ac:dyDescent="0.15"/>
  <cols>
    <col min="1" max="1" width="9.6640625" style="155" bestFit="1" customWidth="1"/>
    <col min="2" max="2" width="11" style="47" bestFit="1" customWidth="1"/>
    <col min="3" max="7" width="12.1640625" style="55" customWidth="1"/>
    <col min="8" max="9" width="12.1640625" style="39" customWidth="1"/>
    <col min="10" max="16384" width="8.83203125" style="39"/>
  </cols>
  <sheetData>
    <row r="2" spans="1:9" ht="18" hidden="1" x14ac:dyDescent="0.2">
      <c r="A2" s="623" t="s">
        <v>127</v>
      </c>
      <c r="B2" s="624"/>
      <c r="C2" s="624"/>
      <c r="D2" s="624"/>
      <c r="E2" s="624"/>
      <c r="F2" s="624"/>
      <c r="G2" s="624"/>
      <c r="H2" s="624"/>
      <c r="I2" s="625"/>
    </row>
    <row r="3" spans="1:9" ht="18" hidden="1" x14ac:dyDescent="0.2">
      <c r="A3" s="629" t="s">
        <v>70</v>
      </c>
      <c r="B3" s="587"/>
      <c r="C3" s="587"/>
      <c r="D3" s="587"/>
      <c r="E3" s="587"/>
      <c r="F3" s="587"/>
      <c r="G3" s="587"/>
      <c r="H3" s="587"/>
      <c r="I3" s="630"/>
    </row>
    <row r="4" spans="1:9" hidden="1" x14ac:dyDescent="0.15">
      <c r="A4" s="620"/>
      <c r="B4" s="621"/>
      <c r="C4" s="621"/>
      <c r="D4" s="621"/>
      <c r="E4" s="621"/>
      <c r="F4" s="621"/>
      <c r="G4" s="621"/>
      <c r="H4" s="621"/>
      <c r="I4" s="622"/>
    </row>
    <row r="5" spans="1:9" hidden="1" x14ac:dyDescent="0.15">
      <c r="A5" s="593" t="s">
        <v>131</v>
      </c>
      <c r="B5" s="594"/>
      <c r="C5" s="200">
        <v>250</v>
      </c>
      <c r="D5" s="200">
        <v>500</v>
      </c>
      <c r="E5" s="200">
        <v>1000</v>
      </c>
      <c r="F5" s="200">
        <v>2000</v>
      </c>
      <c r="G5" s="200">
        <v>5000</v>
      </c>
      <c r="H5" s="212">
        <v>10000</v>
      </c>
      <c r="I5" s="201">
        <v>20000</v>
      </c>
    </row>
    <row r="6" spans="1:9" hidden="1" x14ac:dyDescent="0.15">
      <c r="A6" s="206">
        <v>18</v>
      </c>
      <c r="B6" s="207"/>
      <c r="C6">
        <v>3461</v>
      </c>
      <c r="D6">
        <v>3012</v>
      </c>
      <c r="E6">
        <v>2630</v>
      </c>
      <c r="F6">
        <v>1834</v>
      </c>
      <c r="G6">
        <v>991</v>
      </c>
      <c r="H6">
        <v>561</v>
      </c>
      <c r="I6" s="314">
        <v>328</v>
      </c>
    </row>
    <row r="7" spans="1:9" hidden="1" x14ac:dyDescent="0.15">
      <c r="A7" s="208">
        <v>19</v>
      </c>
      <c r="B7" s="53"/>
      <c r="C7">
        <v>3517</v>
      </c>
      <c r="D7">
        <v>3065</v>
      </c>
      <c r="E7">
        <v>2630</v>
      </c>
      <c r="F7">
        <v>1834</v>
      </c>
      <c r="G7">
        <v>998</v>
      </c>
      <c r="H7">
        <v>566</v>
      </c>
      <c r="I7" s="314">
        <v>334</v>
      </c>
    </row>
    <row r="8" spans="1:9" hidden="1" x14ac:dyDescent="0.15">
      <c r="A8" s="208">
        <v>20</v>
      </c>
      <c r="B8" s="53"/>
      <c r="C8">
        <v>3577</v>
      </c>
      <c r="D8">
        <v>3114</v>
      </c>
      <c r="E8">
        <v>2630</v>
      </c>
      <c r="F8">
        <v>1837</v>
      </c>
      <c r="G8">
        <v>1007</v>
      </c>
      <c r="H8">
        <v>576</v>
      </c>
      <c r="I8" s="314">
        <v>341</v>
      </c>
    </row>
    <row r="9" spans="1:9" hidden="1" x14ac:dyDescent="0.15">
      <c r="A9" s="208">
        <v>21</v>
      </c>
      <c r="B9" s="53"/>
      <c r="C9">
        <v>3645</v>
      </c>
      <c r="D9">
        <v>3170</v>
      </c>
      <c r="E9">
        <v>2630</v>
      </c>
      <c r="F9">
        <v>1846</v>
      </c>
      <c r="G9">
        <v>1020</v>
      </c>
      <c r="H9">
        <v>586</v>
      </c>
      <c r="I9" s="314">
        <v>349</v>
      </c>
    </row>
    <row r="10" spans="1:9" hidden="1" x14ac:dyDescent="0.15">
      <c r="A10" s="208">
        <v>22</v>
      </c>
      <c r="B10" s="53"/>
      <c r="C10">
        <v>3706</v>
      </c>
      <c r="D10">
        <v>3222</v>
      </c>
      <c r="E10">
        <v>2634</v>
      </c>
      <c r="F10">
        <v>1859</v>
      </c>
      <c r="G10">
        <v>1033</v>
      </c>
      <c r="H10">
        <v>597</v>
      </c>
      <c r="I10" s="314">
        <v>359</v>
      </c>
    </row>
    <row r="11" spans="1:9" hidden="1" x14ac:dyDescent="0.15">
      <c r="A11" s="208">
        <v>23</v>
      </c>
      <c r="B11" s="53"/>
      <c r="C11">
        <v>3767</v>
      </c>
      <c r="D11">
        <v>3273</v>
      </c>
      <c r="E11">
        <v>2649</v>
      </c>
      <c r="F11">
        <v>1876</v>
      </c>
      <c r="G11">
        <v>1049</v>
      </c>
      <c r="H11">
        <v>610</v>
      </c>
      <c r="I11" s="314">
        <v>368</v>
      </c>
    </row>
    <row r="12" spans="1:9" hidden="1" x14ac:dyDescent="0.15">
      <c r="A12" s="208">
        <v>24</v>
      </c>
      <c r="B12" s="53"/>
      <c r="C12">
        <v>3828</v>
      </c>
      <c r="D12">
        <v>3327</v>
      </c>
      <c r="E12">
        <v>2670</v>
      </c>
      <c r="F12">
        <v>1900</v>
      </c>
      <c r="G12">
        <v>1071</v>
      </c>
      <c r="H12">
        <v>625</v>
      </c>
      <c r="I12" s="314">
        <v>380</v>
      </c>
    </row>
    <row r="13" spans="1:9" hidden="1" x14ac:dyDescent="0.15">
      <c r="A13" s="208">
        <v>25</v>
      </c>
      <c r="B13" s="53"/>
      <c r="C13">
        <v>3888</v>
      </c>
      <c r="D13">
        <v>3385</v>
      </c>
      <c r="E13">
        <v>2696</v>
      </c>
      <c r="F13">
        <v>1926</v>
      </c>
      <c r="G13">
        <v>1090</v>
      </c>
      <c r="H13">
        <v>640</v>
      </c>
      <c r="I13" s="314">
        <v>392</v>
      </c>
    </row>
    <row r="14" spans="1:9" hidden="1" x14ac:dyDescent="0.15">
      <c r="A14" s="208">
        <v>26</v>
      </c>
      <c r="B14" s="53"/>
      <c r="C14">
        <v>3949</v>
      </c>
      <c r="D14">
        <v>3435</v>
      </c>
      <c r="E14">
        <v>2731</v>
      </c>
      <c r="F14">
        <v>1958</v>
      </c>
      <c r="G14">
        <v>1116</v>
      </c>
      <c r="H14">
        <v>658</v>
      </c>
      <c r="I14" s="314">
        <v>405</v>
      </c>
    </row>
    <row r="15" spans="1:9" hidden="1" x14ac:dyDescent="0.15">
      <c r="A15" s="208">
        <v>27</v>
      </c>
      <c r="B15" s="53"/>
      <c r="C15">
        <v>4010</v>
      </c>
      <c r="D15">
        <v>3487</v>
      </c>
      <c r="E15">
        <v>2770</v>
      </c>
      <c r="F15">
        <v>1995</v>
      </c>
      <c r="G15">
        <v>1143</v>
      </c>
      <c r="H15">
        <v>679</v>
      </c>
      <c r="I15" s="314">
        <v>422</v>
      </c>
    </row>
    <row r="16" spans="1:9" hidden="1" x14ac:dyDescent="0.15">
      <c r="A16" s="208">
        <v>28</v>
      </c>
      <c r="B16" s="53"/>
      <c r="C16">
        <v>4087</v>
      </c>
      <c r="D16">
        <v>3548</v>
      </c>
      <c r="E16">
        <v>2819</v>
      </c>
      <c r="F16">
        <v>2037</v>
      </c>
      <c r="G16">
        <v>1175</v>
      </c>
      <c r="H16">
        <v>701</v>
      </c>
      <c r="I16" s="314">
        <v>437</v>
      </c>
    </row>
    <row r="17" spans="1:9" hidden="1" x14ac:dyDescent="0.15">
      <c r="A17" s="208">
        <v>29</v>
      </c>
      <c r="B17" s="53"/>
      <c r="C17">
        <v>4156</v>
      </c>
      <c r="D17">
        <v>3619</v>
      </c>
      <c r="E17">
        <v>2875</v>
      </c>
      <c r="F17">
        <v>2087</v>
      </c>
      <c r="G17">
        <v>1210</v>
      </c>
      <c r="H17">
        <v>723</v>
      </c>
      <c r="I17" s="314">
        <v>455</v>
      </c>
    </row>
    <row r="18" spans="1:9" hidden="1" x14ac:dyDescent="0.15">
      <c r="A18" s="208">
        <v>30</v>
      </c>
      <c r="B18" s="53"/>
      <c r="C18">
        <v>4195</v>
      </c>
      <c r="D18">
        <v>3681</v>
      </c>
      <c r="E18">
        <v>2941</v>
      </c>
      <c r="F18">
        <v>2140</v>
      </c>
      <c r="G18">
        <v>1247</v>
      </c>
      <c r="H18">
        <v>751</v>
      </c>
      <c r="I18" s="314">
        <v>475</v>
      </c>
    </row>
    <row r="19" spans="1:9" hidden="1" x14ac:dyDescent="0.15">
      <c r="A19" s="208">
        <v>31</v>
      </c>
      <c r="B19" s="53"/>
      <c r="C19">
        <v>4237</v>
      </c>
      <c r="D19">
        <v>3737</v>
      </c>
      <c r="E19">
        <v>3013</v>
      </c>
      <c r="F19">
        <v>2201</v>
      </c>
      <c r="G19">
        <v>1287</v>
      </c>
      <c r="H19">
        <v>781</v>
      </c>
      <c r="I19" s="314">
        <v>495</v>
      </c>
    </row>
    <row r="20" spans="1:9" s="51" customFormat="1" hidden="1" x14ac:dyDescent="0.15">
      <c r="A20" s="209">
        <v>32</v>
      </c>
      <c r="B20" s="53"/>
      <c r="C20">
        <v>4289</v>
      </c>
      <c r="D20">
        <v>3760</v>
      </c>
      <c r="E20">
        <v>3092</v>
      </c>
      <c r="F20">
        <v>2268</v>
      </c>
      <c r="G20">
        <v>1335</v>
      </c>
      <c r="H20">
        <v>810</v>
      </c>
      <c r="I20" s="314">
        <v>518</v>
      </c>
    </row>
    <row r="21" spans="1:9" hidden="1" x14ac:dyDescent="0.15">
      <c r="A21" s="208">
        <v>33</v>
      </c>
      <c r="B21" s="53"/>
      <c r="C21">
        <v>4352</v>
      </c>
      <c r="D21">
        <v>3794</v>
      </c>
      <c r="E21">
        <v>3184</v>
      </c>
      <c r="F21">
        <v>2343</v>
      </c>
      <c r="G21">
        <v>1385</v>
      </c>
      <c r="H21">
        <v>847</v>
      </c>
      <c r="I21" s="314">
        <v>544</v>
      </c>
    </row>
    <row r="22" spans="1:9" hidden="1" x14ac:dyDescent="0.15">
      <c r="A22" s="208">
        <v>34</v>
      </c>
      <c r="B22" s="53"/>
      <c r="C22">
        <v>4425</v>
      </c>
      <c r="D22">
        <v>3841</v>
      </c>
      <c r="E22">
        <v>3284</v>
      </c>
      <c r="F22">
        <v>2424</v>
      </c>
      <c r="G22">
        <v>1441</v>
      </c>
      <c r="H22">
        <v>885</v>
      </c>
      <c r="I22" s="314">
        <v>572</v>
      </c>
    </row>
    <row r="23" spans="1:9" hidden="1" x14ac:dyDescent="0.15">
      <c r="A23" s="208">
        <v>35</v>
      </c>
      <c r="B23" s="53"/>
      <c r="C23">
        <v>4508</v>
      </c>
      <c r="D23">
        <v>3901</v>
      </c>
      <c r="E23">
        <v>3394</v>
      </c>
      <c r="F23">
        <v>2513</v>
      </c>
      <c r="G23">
        <v>1500</v>
      </c>
      <c r="H23">
        <v>925</v>
      </c>
      <c r="I23" s="314">
        <v>600</v>
      </c>
    </row>
    <row r="24" spans="1:9" hidden="1" x14ac:dyDescent="0.15">
      <c r="A24" s="208">
        <v>36</v>
      </c>
      <c r="B24" s="53"/>
      <c r="C24">
        <v>4603</v>
      </c>
      <c r="D24">
        <v>3973</v>
      </c>
      <c r="E24">
        <v>3510</v>
      </c>
      <c r="F24">
        <v>2610</v>
      </c>
      <c r="G24">
        <v>1567</v>
      </c>
      <c r="H24">
        <v>970</v>
      </c>
      <c r="I24" s="314">
        <v>633</v>
      </c>
    </row>
    <row r="25" spans="1:9" hidden="1" x14ac:dyDescent="0.15">
      <c r="A25" s="208">
        <v>37</v>
      </c>
      <c r="B25" s="53"/>
      <c r="C25">
        <v>4708</v>
      </c>
      <c r="D25">
        <v>4058</v>
      </c>
      <c r="E25">
        <v>3584</v>
      </c>
      <c r="F25">
        <v>2716</v>
      </c>
      <c r="G25">
        <v>1638</v>
      </c>
      <c r="H25">
        <v>1018</v>
      </c>
      <c r="I25" s="314">
        <v>667</v>
      </c>
    </row>
    <row r="26" spans="1:9" hidden="1" x14ac:dyDescent="0.15">
      <c r="A26" s="208">
        <v>38</v>
      </c>
      <c r="B26" s="53"/>
      <c r="C26">
        <v>4825</v>
      </c>
      <c r="D26">
        <v>4156</v>
      </c>
      <c r="E26">
        <v>3669</v>
      </c>
      <c r="F26">
        <v>2834</v>
      </c>
      <c r="G26">
        <v>1717</v>
      </c>
      <c r="H26">
        <v>1071</v>
      </c>
      <c r="I26" s="314">
        <v>708</v>
      </c>
    </row>
    <row r="27" spans="1:9" hidden="1" x14ac:dyDescent="0.15">
      <c r="A27" s="208">
        <v>39</v>
      </c>
      <c r="B27" s="53"/>
      <c r="C27">
        <v>4952</v>
      </c>
      <c r="D27">
        <v>4267</v>
      </c>
      <c r="E27">
        <v>3765</v>
      </c>
      <c r="F27">
        <v>2960</v>
      </c>
      <c r="G27">
        <v>1802</v>
      </c>
      <c r="H27">
        <v>1130</v>
      </c>
      <c r="I27" s="314">
        <v>750</v>
      </c>
    </row>
    <row r="28" spans="1:9" hidden="1" x14ac:dyDescent="0.15">
      <c r="A28" s="208">
        <v>40</v>
      </c>
      <c r="B28" s="53"/>
      <c r="C28">
        <v>5090</v>
      </c>
      <c r="D28">
        <v>4390</v>
      </c>
      <c r="E28">
        <v>3871</v>
      </c>
      <c r="F28">
        <v>3096</v>
      </c>
      <c r="G28">
        <v>1893</v>
      </c>
      <c r="H28">
        <v>1191</v>
      </c>
      <c r="I28" s="314">
        <v>795</v>
      </c>
    </row>
    <row r="29" spans="1:9" hidden="1" x14ac:dyDescent="0.15">
      <c r="A29" s="208">
        <v>41</v>
      </c>
      <c r="B29" s="53"/>
      <c r="C29">
        <v>5239</v>
      </c>
      <c r="D29">
        <v>4526</v>
      </c>
      <c r="E29">
        <v>3987</v>
      </c>
      <c r="F29">
        <v>3235</v>
      </c>
      <c r="G29">
        <v>1993</v>
      </c>
      <c r="H29">
        <v>1259</v>
      </c>
      <c r="I29" s="314">
        <v>844</v>
      </c>
    </row>
    <row r="30" spans="1:9" hidden="1" x14ac:dyDescent="0.15">
      <c r="A30" s="208">
        <v>42</v>
      </c>
      <c r="B30" s="53"/>
      <c r="C30">
        <v>5398</v>
      </c>
      <c r="D30">
        <v>4672</v>
      </c>
      <c r="E30">
        <v>4113</v>
      </c>
      <c r="F30">
        <v>3337</v>
      </c>
      <c r="G30">
        <v>2100</v>
      </c>
      <c r="H30">
        <v>1333</v>
      </c>
      <c r="I30" s="314">
        <v>897</v>
      </c>
    </row>
    <row r="31" spans="1:9" hidden="1" x14ac:dyDescent="0.15">
      <c r="A31" s="208">
        <v>43</v>
      </c>
      <c r="B31" s="53"/>
      <c r="C31">
        <v>5565</v>
      </c>
      <c r="D31">
        <v>4829</v>
      </c>
      <c r="E31">
        <v>4246</v>
      </c>
      <c r="F31">
        <v>3448</v>
      </c>
      <c r="G31">
        <v>2217</v>
      </c>
      <c r="H31">
        <v>1414</v>
      </c>
      <c r="I31" s="314">
        <v>959</v>
      </c>
    </row>
    <row r="32" spans="1:9" hidden="1" x14ac:dyDescent="0.15">
      <c r="A32" s="208">
        <v>44</v>
      </c>
      <c r="B32" s="53"/>
      <c r="C32">
        <v>5740</v>
      </c>
      <c r="D32">
        <v>4995</v>
      </c>
      <c r="E32">
        <v>4387</v>
      </c>
      <c r="F32">
        <v>3566</v>
      </c>
      <c r="G32">
        <v>2344</v>
      </c>
      <c r="H32">
        <v>1500</v>
      </c>
      <c r="I32" s="314">
        <v>1020</v>
      </c>
    </row>
    <row r="33" spans="1:9" hidden="1" x14ac:dyDescent="0.15">
      <c r="A33" s="208">
        <v>45</v>
      </c>
      <c r="B33" s="53"/>
      <c r="C33">
        <v>5920</v>
      </c>
      <c r="D33">
        <v>5167</v>
      </c>
      <c r="E33">
        <v>4531</v>
      </c>
      <c r="F33">
        <v>3688</v>
      </c>
      <c r="G33">
        <v>2481</v>
      </c>
      <c r="H33">
        <v>1591</v>
      </c>
      <c r="I33" s="314">
        <v>1090</v>
      </c>
    </row>
    <row r="34" spans="1:9" hidden="1" x14ac:dyDescent="0.15">
      <c r="A34" s="208">
        <v>46</v>
      </c>
      <c r="B34" s="53"/>
      <c r="C34">
        <v>6099</v>
      </c>
      <c r="D34">
        <v>5342</v>
      </c>
      <c r="E34">
        <v>4675</v>
      </c>
      <c r="F34">
        <v>3812</v>
      </c>
      <c r="G34">
        <v>2629</v>
      </c>
      <c r="H34">
        <v>1694</v>
      </c>
      <c r="I34" s="314">
        <v>1167</v>
      </c>
    </row>
    <row r="35" spans="1:9" hidden="1" x14ac:dyDescent="0.15">
      <c r="A35" s="208">
        <v>47</v>
      </c>
      <c r="B35" s="53"/>
      <c r="C35">
        <v>6275</v>
      </c>
      <c r="D35">
        <v>5516</v>
      </c>
      <c r="E35">
        <v>4817</v>
      </c>
      <c r="F35">
        <v>3932</v>
      </c>
      <c r="G35">
        <v>2789</v>
      </c>
      <c r="H35">
        <v>1805</v>
      </c>
      <c r="I35" s="314">
        <v>1247</v>
      </c>
    </row>
    <row r="36" spans="1:9" hidden="1" x14ac:dyDescent="0.15">
      <c r="A36" s="208">
        <v>48</v>
      </c>
      <c r="B36" s="53"/>
      <c r="C36">
        <v>6444</v>
      </c>
      <c r="D36">
        <v>5687</v>
      </c>
      <c r="E36">
        <v>4954</v>
      </c>
      <c r="F36">
        <v>4047</v>
      </c>
      <c r="G36">
        <v>2963</v>
      </c>
      <c r="H36">
        <v>1926</v>
      </c>
      <c r="I36" s="314">
        <v>1336</v>
      </c>
    </row>
    <row r="37" spans="1:9" hidden="1" x14ac:dyDescent="0.15">
      <c r="A37" s="208">
        <v>49</v>
      </c>
      <c r="B37" s="53"/>
      <c r="C37">
        <v>6620</v>
      </c>
      <c r="D37">
        <v>5871</v>
      </c>
      <c r="E37">
        <v>5105</v>
      </c>
      <c r="F37">
        <v>4168</v>
      </c>
      <c r="G37">
        <v>3151</v>
      </c>
      <c r="H37">
        <v>2054</v>
      </c>
      <c r="I37" s="314">
        <v>1434</v>
      </c>
    </row>
    <row r="38" spans="1:9" hidden="1" x14ac:dyDescent="0.15">
      <c r="A38" s="208">
        <v>50</v>
      </c>
      <c r="B38" s="53"/>
      <c r="C38">
        <v>6834</v>
      </c>
      <c r="D38">
        <v>6097</v>
      </c>
      <c r="E38">
        <v>5301</v>
      </c>
      <c r="F38">
        <v>4319</v>
      </c>
      <c r="G38">
        <v>3370</v>
      </c>
      <c r="H38">
        <v>2092</v>
      </c>
      <c r="I38" s="314">
        <v>1547</v>
      </c>
    </row>
    <row r="39" spans="1:9" hidden="1" x14ac:dyDescent="0.15">
      <c r="A39" s="208">
        <v>51</v>
      </c>
      <c r="B39" s="53"/>
      <c r="C39">
        <v>6993</v>
      </c>
      <c r="D39">
        <v>6269</v>
      </c>
      <c r="E39">
        <v>5432</v>
      </c>
      <c r="F39">
        <v>4405</v>
      </c>
      <c r="G39">
        <v>3516</v>
      </c>
      <c r="H39">
        <v>2268</v>
      </c>
      <c r="I39" s="314">
        <v>1685</v>
      </c>
    </row>
    <row r="40" spans="1:9" hidden="1" x14ac:dyDescent="0.15">
      <c r="A40" s="208">
        <v>52</v>
      </c>
      <c r="B40" s="53"/>
      <c r="C40">
        <v>7158</v>
      </c>
      <c r="D40">
        <v>6438</v>
      </c>
      <c r="E40">
        <v>5555</v>
      </c>
      <c r="F40">
        <v>4483</v>
      </c>
      <c r="G40">
        <v>3519</v>
      </c>
      <c r="H40">
        <v>2456</v>
      </c>
      <c r="I40" s="314">
        <v>1831</v>
      </c>
    </row>
    <row r="41" spans="1:9" hidden="1" x14ac:dyDescent="0.15">
      <c r="A41" s="208">
        <v>53</v>
      </c>
      <c r="B41" s="53"/>
      <c r="C41">
        <v>7395</v>
      </c>
      <c r="D41">
        <v>6674</v>
      </c>
      <c r="E41">
        <v>5745</v>
      </c>
      <c r="F41">
        <v>4625</v>
      </c>
      <c r="G41">
        <v>3565</v>
      </c>
      <c r="H41">
        <v>2559</v>
      </c>
      <c r="I41" s="314">
        <v>1993</v>
      </c>
    </row>
    <row r="42" spans="1:9" hidden="1" x14ac:dyDescent="0.15">
      <c r="A42" s="208">
        <v>54</v>
      </c>
      <c r="B42" s="53"/>
      <c r="C42">
        <v>7733</v>
      </c>
      <c r="D42">
        <v>7007</v>
      </c>
      <c r="E42">
        <v>6035</v>
      </c>
      <c r="F42">
        <v>4864</v>
      </c>
      <c r="G42">
        <v>3694</v>
      </c>
      <c r="H42">
        <v>2767</v>
      </c>
      <c r="I42" s="314">
        <v>2163</v>
      </c>
    </row>
    <row r="43" spans="1:9" hidden="1" x14ac:dyDescent="0.15">
      <c r="A43" s="208">
        <v>55</v>
      </c>
      <c r="B43" s="53"/>
      <c r="C43">
        <v>8170</v>
      </c>
      <c r="D43">
        <v>7439</v>
      </c>
      <c r="E43">
        <v>6427</v>
      </c>
      <c r="F43">
        <v>5202</v>
      </c>
      <c r="G43">
        <v>3897</v>
      </c>
      <c r="H43">
        <v>2989</v>
      </c>
      <c r="I43" s="314">
        <v>2348</v>
      </c>
    </row>
    <row r="44" spans="1:9" hidden="1" x14ac:dyDescent="0.15">
      <c r="A44" s="208">
        <v>56</v>
      </c>
      <c r="B44" s="53"/>
      <c r="C44">
        <v>8696</v>
      </c>
      <c r="D44">
        <v>7810</v>
      </c>
      <c r="E44">
        <v>6911</v>
      </c>
      <c r="F44">
        <v>5629</v>
      </c>
      <c r="G44">
        <v>4008</v>
      </c>
      <c r="H44">
        <v>3108</v>
      </c>
      <c r="I44" s="314">
        <v>2547</v>
      </c>
    </row>
    <row r="45" spans="1:9" hidden="1" x14ac:dyDescent="0.15">
      <c r="A45" s="208">
        <v>57</v>
      </c>
      <c r="B45" s="53"/>
      <c r="C45">
        <v>9252</v>
      </c>
      <c r="D45">
        <v>8051</v>
      </c>
      <c r="E45">
        <v>7469</v>
      </c>
      <c r="F45">
        <v>6139</v>
      </c>
      <c r="G45">
        <v>4168</v>
      </c>
      <c r="H45">
        <v>3357</v>
      </c>
      <c r="I45" s="314">
        <v>2761</v>
      </c>
    </row>
    <row r="46" spans="1:9" hidden="1" x14ac:dyDescent="0.15">
      <c r="A46" s="208">
        <v>58</v>
      </c>
      <c r="B46" s="53"/>
      <c r="C46">
        <v>9574</v>
      </c>
      <c r="D46">
        <v>8326</v>
      </c>
      <c r="E46">
        <v>7703</v>
      </c>
      <c r="F46">
        <v>6725</v>
      </c>
      <c r="G46">
        <v>4402</v>
      </c>
      <c r="H46">
        <v>3625</v>
      </c>
      <c r="I46" s="314">
        <v>2989</v>
      </c>
    </row>
    <row r="47" spans="1:9" hidden="1" x14ac:dyDescent="0.15">
      <c r="A47" s="208">
        <v>59</v>
      </c>
      <c r="B47" s="53"/>
      <c r="C47">
        <v>9897</v>
      </c>
      <c r="D47">
        <v>8607</v>
      </c>
      <c r="E47">
        <v>7937</v>
      </c>
      <c r="F47">
        <v>7185</v>
      </c>
      <c r="G47">
        <v>4709</v>
      </c>
      <c r="H47">
        <v>3757</v>
      </c>
      <c r="I47" s="314">
        <v>3238</v>
      </c>
    </row>
    <row r="48" spans="1:9" hidden="1" x14ac:dyDescent="0.15">
      <c r="A48" s="208">
        <v>60</v>
      </c>
      <c r="B48" s="53"/>
      <c r="C48">
        <v>10215</v>
      </c>
      <c r="D48">
        <v>8880</v>
      </c>
      <c r="E48">
        <v>8171</v>
      </c>
      <c r="F48">
        <v>7464</v>
      </c>
      <c r="G48">
        <v>5049</v>
      </c>
      <c r="H48">
        <v>4024</v>
      </c>
      <c r="I48" s="314">
        <v>3504</v>
      </c>
    </row>
    <row r="49" spans="1:9" hidden="1" x14ac:dyDescent="0.15">
      <c r="A49" s="208">
        <v>61</v>
      </c>
      <c r="B49" s="53"/>
      <c r="C49">
        <v>10608</v>
      </c>
      <c r="D49">
        <v>9221</v>
      </c>
      <c r="E49">
        <v>8526</v>
      </c>
      <c r="F49">
        <v>7745</v>
      </c>
      <c r="G49">
        <v>5238</v>
      </c>
      <c r="H49">
        <v>4200</v>
      </c>
      <c r="I49" s="314">
        <v>3718</v>
      </c>
    </row>
    <row r="50" spans="1:9" hidden="1" x14ac:dyDescent="0.15">
      <c r="A50" s="208">
        <v>62</v>
      </c>
      <c r="B50" s="53"/>
      <c r="C50">
        <v>11280</v>
      </c>
      <c r="D50">
        <v>9685</v>
      </c>
      <c r="E50">
        <v>8943</v>
      </c>
      <c r="F50">
        <v>8096</v>
      </c>
      <c r="G50">
        <v>5478</v>
      </c>
      <c r="H50">
        <v>4428</v>
      </c>
      <c r="I50" s="314">
        <v>3930</v>
      </c>
    </row>
    <row r="51" spans="1:9" hidden="1" x14ac:dyDescent="0.15">
      <c r="A51" s="208">
        <v>63</v>
      </c>
      <c r="B51" s="53"/>
      <c r="C51">
        <v>12061</v>
      </c>
      <c r="D51">
        <v>10384</v>
      </c>
      <c r="E51">
        <v>9409</v>
      </c>
      <c r="F51">
        <v>8511</v>
      </c>
      <c r="G51">
        <v>5761</v>
      </c>
      <c r="H51">
        <v>4730</v>
      </c>
      <c r="I51" s="314">
        <v>4219</v>
      </c>
    </row>
    <row r="52" spans="1:9" hidden="1" x14ac:dyDescent="0.15">
      <c r="A52" s="208">
        <v>64</v>
      </c>
      <c r="B52" s="53"/>
      <c r="C52">
        <v>12903</v>
      </c>
      <c r="D52">
        <v>11137</v>
      </c>
      <c r="E52">
        <v>9945</v>
      </c>
      <c r="F52">
        <v>8998</v>
      </c>
      <c r="G52">
        <v>6094</v>
      </c>
      <c r="H52">
        <v>5091</v>
      </c>
      <c r="I52" s="314">
        <v>4612</v>
      </c>
    </row>
    <row r="53" spans="1:9" hidden="1" x14ac:dyDescent="0.15">
      <c r="A53" s="208">
        <v>65</v>
      </c>
      <c r="B53" s="53"/>
      <c r="C53">
        <v>13804</v>
      </c>
      <c r="D53">
        <v>11949</v>
      </c>
      <c r="E53">
        <v>10593</v>
      </c>
      <c r="F53">
        <v>9673</v>
      </c>
      <c r="G53">
        <v>6523</v>
      </c>
      <c r="H53">
        <v>5449</v>
      </c>
      <c r="I53" s="314">
        <v>5095</v>
      </c>
    </row>
    <row r="54" spans="1:9" hidden="1" x14ac:dyDescent="0.15">
      <c r="A54" s="208">
        <v>66</v>
      </c>
      <c r="B54" s="53"/>
      <c r="C54">
        <v>14774</v>
      </c>
      <c r="D54">
        <v>12824</v>
      </c>
      <c r="E54">
        <v>11358</v>
      </c>
      <c r="F54">
        <v>10447</v>
      </c>
      <c r="G54">
        <v>7025</v>
      </c>
      <c r="H54">
        <v>5881</v>
      </c>
      <c r="I54" s="314">
        <v>5601</v>
      </c>
    </row>
    <row r="55" spans="1:9" hidden="1" x14ac:dyDescent="0.15">
      <c r="A55" s="208">
        <v>67</v>
      </c>
      <c r="B55" s="53"/>
      <c r="C55">
        <v>15818</v>
      </c>
      <c r="D55">
        <v>13763</v>
      </c>
      <c r="E55">
        <v>12267</v>
      </c>
      <c r="F55">
        <v>11289</v>
      </c>
      <c r="G55">
        <v>7590</v>
      </c>
      <c r="H55">
        <v>6349</v>
      </c>
      <c r="I55" s="314">
        <v>6053</v>
      </c>
    </row>
    <row r="56" spans="1:9" hidden="1" x14ac:dyDescent="0.15">
      <c r="A56" s="208">
        <v>68</v>
      </c>
      <c r="B56" s="53"/>
      <c r="C56">
        <v>16937</v>
      </c>
      <c r="D56">
        <v>14778</v>
      </c>
      <c r="E56">
        <v>13307</v>
      </c>
      <c r="F56">
        <v>12241</v>
      </c>
      <c r="G56">
        <v>8228</v>
      </c>
      <c r="H56">
        <v>7164</v>
      </c>
      <c r="I56" s="314">
        <v>6539</v>
      </c>
    </row>
    <row r="57" spans="1:9" hidden="1" x14ac:dyDescent="0.15">
      <c r="A57" s="208">
        <v>69</v>
      </c>
      <c r="B57" s="53"/>
      <c r="C57">
        <v>18139</v>
      </c>
      <c r="D57">
        <v>15865</v>
      </c>
      <c r="E57">
        <v>14519</v>
      </c>
      <c r="F57">
        <v>13368</v>
      </c>
      <c r="G57">
        <v>8988</v>
      </c>
      <c r="H57">
        <v>7735</v>
      </c>
      <c r="I57" s="314">
        <v>7066</v>
      </c>
    </row>
    <row r="58" spans="1:9" hidden="1" x14ac:dyDescent="0.15">
      <c r="A58" s="208">
        <v>70</v>
      </c>
      <c r="B58" s="53"/>
      <c r="C58">
        <v>19736</v>
      </c>
      <c r="D58">
        <v>17164</v>
      </c>
      <c r="E58">
        <v>15789</v>
      </c>
      <c r="F58">
        <v>14877</v>
      </c>
      <c r="G58">
        <v>9939</v>
      </c>
      <c r="H58">
        <v>8351</v>
      </c>
      <c r="I58" s="314">
        <v>7398</v>
      </c>
    </row>
    <row r="59" spans="1:9" hidden="1" x14ac:dyDescent="0.15">
      <c r="A59" s="208">
        <v>71</v>
      </c>
      <c r="B59" s="53"/>
      <c r="C59">
        <v>21736</v>
      </c>
      <c r="D59">
        <v>18903</v>
      </c>
      <c r="E59">
        <v>17537</v>
      </c>
      <c r="F59">
        <v>16381</v>
      </c>
      <c r="G59">
        <v>10948</v>
      </c>
      <c r="H59">
        <v>9406</v>
      </c>
      <c r="I59" s="314">
        <v>7755</v>
      </c>
    </row>
    <row r="60" spans="1:9" hidden="1" x14ac:dyDescent="0.15">
      <c r="A60" s="208">
        <v>72</v>
      </c>
      <c r="B60" s="53"/>
      <c r="C60">
        <v>24044</v>
      </c>
      <c r="D60">
        <v>20909</v>
      </c>
      <c r="E60">
        <v>19403</v>
      </c>
      <c r="F60">
        <v>18129</v>
      </c>
      <c r="G60">
        <v>12118</v>
      </c>
      <c r="H60">
        <v>10151</v>
      </c>
      <c r="I60" s="314">
        <v>8232</v>
      </c>
    </row>
    <row r="61" spans="1:9" hidden="1" x14ac:dyDescent="0.15">
      <c r="A61" s="208">
        <v>73</v>
      </c>
      <c r="B61" s="53"/>
      <c r="C61">
        <v>26708</v>
      </c>
      <c r="D61">
        <v>23222</v>
      </c>
      <c r="E61">
        <v>21545</v>
      </c>
      <c r="F61">
        <v>20125</v>
      </c>
      <c r="G61">
        <v>13448</v>
      </c>
      <c r="H61">
        <v>10954</v>
      </c>
      <c r="I61" s="314">
        <v>8926</v>
      </c>
    </row>
    <row r="62" spans="1:9" hidden="1" x14ac:dyDescent="0.15">
      <c r="A62" s="208">
        <v>74</v>
      </c>
      <c r="B62" s="53"/>
      <c r="C62">
        <v>29774</v>
      </c>
      <c r="D62">
        <v>25888</v>
      </c>
      <c r="E62">
        <v>24021</v>
      </c>
      <c r="F62">
        <v>22438</v>
      </c>
      <c r="G62">
        <v>14997</v>
      </c>
      <c r="H62">
        <v>12303</v>
      </c>
      <c r="I62" s="314">
        <v>9898</v>
      </c>
    </row>
    <row r="63" spans="1:9" hidden="1" x14ac:dyDescent="0.15">
      <c r="A63" s="208">
        <v>75</v>
      </c>
      <c r="B63" s="53"/>
      <c r="C63">
        <v>32335</v>
      </c>
      <c r="D63">
        <v>28951</v>
      </c>
      <c r="E63">
        <v>26752</v>
      </c>
      <c r="F63">
        <v>25250</v>
      </c>
      <c r="G63">
        <v>16829</v>
      </c>
      <c r="H63">
        <v>13259</v>
      </c>
      <c r="I63" s="314">
        <v>11085</v>
      </c>
    </row>
    <row r="64" spans="1:9" hidden="1" x14ac:dyDescent="0.15">
      <c r="A64" s="208">
        <v>76</v>
      </c>
      <c r="B64" s="53"/>
      <c r="C64">
        <v>34288</v>
      </c>
      <c r="D64">
        <v>32463</v>
      </c>
      <c r="E64">
        <v>30098</v>
      </c>
      <c r="F64">
        <v>28310</v>
      </c>
      <c r="G64">
        <v>18868</v>
      </c>
      <c r="H64">
        <v>14278</v>
      </c>
      <c r="I64" s="314">
        <v>11972</v>
      </c>
    </row>
    <row r="65" spans="1:9" hidden="1" x14ac:dyDescent="0.15">
      <c r="A65" s="208">
        <v>77</v>
      </c>
      <c r="B65" s="53"/>
      <c r="C65">
        <v>36317</v>
      </c>
      <c r="D65">
        <v>35477</v>
      </c>
      <c r="E65">
        <v>33830</v>
      </c>
      <c r="F65">
        <v>30834</v>
      </c>
      <c r="G65">
        <v>21196</v>
      </c>
      <c r="H65">
        <v>15963</v>
      </c>
      <c r="I65" s="314">
        <v>12844</v>
      </c>
    </row>
    <row r="66" spans="1:9" hidden="1" x14ac:dyDescent="0.15">
      <c r="A66" s="208">
        <v>78</v>
      </c>
      <c r="B66" s="53"/>
      <c r="C66">
        <v>38421</v>
      </c>
      <c r="D66">
        <v>37573</v>
      </c>
      <c r="E66">
        <v>36106</v>
      </c>
      <c r="F66">
        <v>32804</v>
      </c>
      <c r="G66">
        <v>23813</v>
      </c>
      <c r="H66">
        <v>17141</v>
      </c>
      <c r="I66" s="314">
        <v>13750</v>
      </c>
    </row>
    <row r="67" spans="1:9" hidden="1" x14ac:dyDescent="0.15">
      <c r="A67" s="208">
        <v>79</v>
      </c>
      <c r="B67" s="53"/>
      <c r="C67">
        <v>40602</v>
      </c>
      <c r="D67">
        <v>39746</v>
      </c>
      <c r="E67">
        <v>38278</v>
      </c>
      <c r="F67">
        <v>34850</v>
      </c>
      <c r="G67">
        <v>26759</v>
      </c>
      <c r="H67">
        <v>18366</v>
      </c>
      <c r="I67" s="314">
        <v>14679</v>
      </c>
    </row>
    <row r="68" spans="1:9" hidden="1" x14ac:dyDescent="0.15">
      <c r="A68" s="208">
        <v>80</v>
      </c>
      <c r="B68" s="53"/>
      <c r="C68">
        <v>42861</v>
      </c>
      <c r="D68">
        <v>41996</v>
      </c>
      <c r="E68">
        <v>40529</v>
      </c>
      <c r="F68">
        <v>36972</v>
      </c>
      <c r="G68">
        <v>29370</v>
      </c>
      <c r="H68">
        <v>20381</v>
      </c>
      <c r="I68" s="314">
        <v>15613</v>
      </c>
    </row>
    <row r="69" spans="1:9" hidden="1" x14ac:dyDescent="0.15">
      <c r="A69" s="208">
        <v>81</v>
      </c>
      <c r="B69" s="53"/>
      <c r="C69">
        <v>42861</v>
      </c>
      <c r="D69">
        <v>41996</v>
      </c>
      <c r="E69">
        <v>40529</v>
      </c>
      <c r="F69">
        <v>36972</v>
      </c>
      <c r="G69">
        <v>29370</v>
      </c>
      <c r="H69">
        <v>20381</v>
      </c>
      <c r="I69" s="314">
        <v>15613</v>
      </c>
    </row>
    <row r="70" spans="1:9" hidden="1" x14ac:dyDescent="0.15">
      <c r="A70" s="208">
        <v>82</v>
      </c>
      <c r="B70" s="53"/>
      <c r="C70">
        <v>42861</v>
      </c>
      <c r="D70">
        <v>41996</v>
      </c>
      <c r="E70">
        <v>40529</v>
      </c>
      <c r="F70">
        <v>36972</v>
      </c>
      <c r="G70">
        <v>29370</v>
      </c>
      <c r="H70">
        <v>20381</v>
      </c>
      <c r="I70" s="314">
        <v>15613</v>
      </c>
    </row>
    <row r="71" spans="1:9" hidden="1" x14ac:dyDescent="0.15">
      <c r="A71" s="208">
        <v>83</v>
      </c>
      <c r="B71" s="53"/>
      <c r="C71">
        <v>42861</v>
      </c>
      <c r="D71">
        <v>41996</v>
      </c>
      <c r="E71">
        <v>40529</v>
      </c>
      <c r="F71">
        <v>36972</v>
      </c>
      <c r="G71">
        <v>29370</v>
      </c>
      <c r="H71">
        <v>20381</v>
      </c>
      <c r="I71" s="314">
        <v>15613</v>
      </c>
    </row>
    <row r="72" spans="1:9" s="54" customFormat="1" hidden="1" x14ac:dyDescent="0.15">
      <c r="A72" s="208">
        <v>84</v>
      </c>
      <c r="B72" s="53" t="s">
        <v>134</v>
      </c>
      <c r="C72">
        <v>42861</v>
      </c>
      <c r="D72">
        <v>41996</v>
      </c>
      <c r="E72">
        <v>40529</v>
      </c>
      <c r="F72">
        <v>36972</v>
      </c>
      <c r="G72">
        <v>29370</v>
      </c>
      <c r="H72">
        <v>20381</v>
      </c>
      <c r="I72" s="314">
        <v>15613</v>
      </c>
    </row>
    <row r="73" spans="1:9" hidden="1" x14ac:dyDescent="0.15">
      <c r="A73" s="206">
        <v>1</v>
      </c>
      <c r="B73" s="207" t="s">
        <v>135</v>
      </c>
      <c r="C73">
        <v>1154</v>
      </c>
      <c r="D73">
        <v>1114</v>
      </c>
      <c r="E73">
        <v>750</v>
      </c>
      <c r="F73">
        <v>670</v>
      </c>
      <c r="G73">
        <v>468</v>
      </c>
      <c r="H73">
        <v>368</v>
      </c>
      <c r="I73">
        <v>225</v>
      </c>
    </row>
    <row r="74" spans="1:9" hidden="1" x14ac:dyDescent="0.15">
      <c r="A74" s="208">
        <v>2</v>
      </c>
      <c r="B74" s="53" t="s">
        <v>136</v>
      </c>
      <c r="C74">
        <v>2210</v>
      </c>
      <c r="D74">
        <v>2136</v>
      </c>
      <c r="E74">
        <v>1431</v>
      </c>
      <c r="F74">
        <v>1268</v>
      </c>
      <c r="G74">
        <v>772</v>
      </c>
      <c r="H74">
        <v>476</v>
      </c>
      <c r="I74">
        <v>360</v>
      </c>
    </row>
    <row r="75" spans="1:9" hidden="1" x14ac:dyDescent="0.15">
      <c r="A75" s="210">
        <v>3</v>
      </c>
      <c r="B75" s="203" t="s">
        <v>137</v>
      </c>
      <c r="C75">
        <v>3206</v>
      </c>
      <c r="D75">
        <v>3112</v>
      </c>
      <c r="E75">
        <v>2072</v>
      </c>
      <c r="F75">
        <v>1825</v>
      </c>
      <c r="G75">
        <v>1072</v>
      </c>
      <c r="H75">
        <v>688</v>
      </c>
      <c r="I75">
        <v>540</v>
      </c>
    </row>
    <row r="77" spans="1:9" ht="18" hidden="1" x14ac:dyDescent="0.2">
      <c r="A77" s="623" t="s">
        <v>138</v>
      </c>
      <c r="B77" s="624"/>
      <c r="C77" s="624"/>
      <c r="D77" s="624"/>
      <c r="E77" s="624"/>
      <c r="F77" s="624"/>
      <c r="G77" s="624"/>
      <c r="H77" s="624"/>
      <c r="I77" s="625"/>
    </row>
    <row r="78" spans="1:9" ht="18" hidden="1" x14ac:dyDescent="0.2">
      <c r="A78" s="629" t="s">
        <v>70</v>
      </c>
      <c r="B78" s="587"/>
      <c r="C78" s="587"/>
      <c r="D78" s="587"/>
      <c r="E78" s="587"/>
      <c r="F78" s="587"/>
      <c r="G78" s="587"/>
      <c r="H78" s="587"/>
      <c r="I78" s="630"/>
    </row>
    <row r="79" spans="1:9" hidden="1" x14ac:dyDescent="0.15">
      <c r="A79" s="620"/>
      <c r="B79" s="621"/>
      <c r="C79" s="621"/>
      <c r="D79" s="621"/>
      <c r="E79" s="621"/>
      <c r="F79" s="621"/>
      <c r="G79" s="621"/>
      <c r="H79" s="621"/>
      <c r="I79" s="622"/>
    </row>
    <row r="80" spans="1:9" hidden="1" x14ac:dyDescent="0.15">
      <c r="A80" s="631" t="s">
        <v>131</v>
      </c>
      <c r="B80" s="632"/>
      <c r="C80" s="214">
        <v>250</v>
      </c>
      <c r="D80" s="214">
        <v>500</v>
      </c>
      <c r="E80" s="214">
        <v>1000</v>
      </c>
      <c r="F80" s="214">
        <v>2000</v>
      </c>
      <c r="G80" s="214">
        <v>5000</v>
      </c>
      <c r="H80" s="205">
        <v>10000</v>
      </c>
      <c r="I80" s="202">
        <v>20000</v>
      </c>
    </row>
    <row r="81" spans="1:9" hidden="1" x14ac:dyDescent="0.15">
      <c r="A81" s="206">
        <v>18</v>
      </c>
      <c r="B81" s="207"/>
      <c r="C81">
        <v>2941</v>
      </c>
      <c r="D81">
        <v>2515</v>
      </c>
      <c r="E81">
        <v>1874</v>
      </c>
      <c r="F81">
        <v>1292</v>
      </c>
      <c r="G81">
        <v>689</v>
      </c>
      <c r="H81">
        <v>387</v>
      </c>
      <c r="I81" s="314">
        <v>254</v>
      </c>
    </row>
    <row r="82" spans="1:9" hidden="1" x14ac:dyDescent="0.15">
      <c r="A82" s="208">
        <v>19</v>
      </c>
      <c r="B82" s="53"/>
      <c r="C82">
        <v>2989</v>
      </c>
      <c r="D82">
        <v>2515</v>
      </c>
      <c r="E82">
        <v>1874</v>
      </c>
      <c r="F82">
        <v>1293</v>
      </c>
      <c r="G82">
        <v>697</v>
      </c>
      <c r="H82">
        <v>391</v>
      </c>
      <c r="I82" s="314">
        <v>259</v>
      </c>
    </row>
    <row r="83" spans="1:9" hidden="1" x14ac:dyDescent="0.15">
      <c r="A83" s="208">
        <v>20</v>
      </c>
      <c r="B83" s="53"/>
      <c r="C83">
        <v>3041</v>
      </c>
      <c r="D83">
        <v>2515</v>
      </c>
      <c r="E83">
        <v>1874</v>
      </c>
      <c r="F83">
        <v>1297</v>
      </c>
      <c r="G83">
        <v>703</v>
      </c>
      <c r="H83">
        <v>396</v>
      </c>
      <c r="I83" s="314">
        <v>265</v>
      </c>
    </row>
    <row r="84" spans="1:9" hidden="1" x14ac:dyDescent="0.15">
      <c r="A84" s="208">
        <v>21</v>
      </c>
      <c r="B84" s="53"/>
      <c r="C84">
        <v>3098</v>
      </c>
      <c r="D84">
        <v>2515</v>
      </c>
      <c r="E84">
        <v>1876</v>
      </c>
      <c r="F84">
        <v>1306</v>
      </c>
      <c r="G84">
        <v>713</v>
      </c>
      <c r="H84">
        <v>405</v>
      </c>
      <c r="I84" s="314">
        <v>273</v>
      </c>
    </row>
    <row r="85" spans="1:9" hidden="1" x14ac:dyDescent="0.15">
      <c r="A85" s="208">
        <v>22</v>
      </c>
      <c r="B85" s="53"/>
      <c r="C85">
        <v>3149</v>
      </c>
      <c r="D85">
        <v>2515</v>
      </c>
      <c r="E85">
        <v>1883</v>
      </c>
      <c r="F85">
        <v>1316</v>
      </c>
      <c r="G85">
        <v>723</v>
      </c>
      <c r="H85">
        <v>416</v>
      </c>
      <c r="I85" s="314">
        <v>280</v>
      </c>
    </row>
    <row r="86" spans="1:9" hidden="1" x14ac:dyDescent="0.15">
      <c r="A86" s="208">
        <v>23</v>
      </c>
      <c r="B86" s="53"/>
      <c r="C86">
        <v>3201</v>
      </c>
      <c r="D86">
        <v>2522</v>
      </c>
      <c r="E86">
        <v>1894</v>
      </c>
      <c r="F86">
        <v>1330</v>
      </c>
      <c r="G86">
        <v>735</v>
      </c>
      <c r="H86">
        <v>430</v>
      </c>
      <c r="I86" s="314">
        <v>286</v>
      </c>
    </row>
    <row r="87" spans="1:9" hidden="1" x14ac:dyDescent="0.15">
      <c r="A87" s="208">
        <v>24</v>
      </c>
      <c r="B87" s="53"/>
      <c r="C87">
        <v>3210</v>
      </c>
      <c r="D87">
        <v>2532</v>
      </c>
      <c r="E87">
        <v>1911</v>
      </c>
      <c r="F87">
        <v>1346</v>
      </c>
      <c r="G87">
        <v>750</v>
      </c>
      <c r="H87">
        <v>444</v>
      </c>
      <c r="I87" s="314">
        <v>296</v>
      </c>
    </row>
    <row r="88" spans="1:9" hidden="1" x14ac:dyDescent="0.15">
      <c r="A88" s="208">
        <v>25</v>
      </c>
      <c r="B88" s="53"/>
      <c r="C88">
        <v>3225</v>
      </c>
      <c r="D88">
        <v>2551</v>
      </c>
      <c r="E88">
        <v>1930</v>
      </c>
      <c r="F88">
        <v>1366</v>
      </c>
      <c r="G88">
        <v>766</v>
      </c>
      <c r="H88">
        <v>458</v>
      </c>
      <c r="I88" s="314">
        <v>308</v>
      </c>
    </row>
    <row r="89" spans="1:9" hidden="1" x14ac:dyDescent="0.15">
      <c r="A89" s="208">
        <v>26</v>
      </c>
      <c r="B89" s="53"/>
      <c r="C89">
        <v>3248</v>
      </c>
      <c r="D89">
        <v>2576</v>
      </c>
      <c r="E89">
        <v>1958</v>
      </c>
      <c r="F89">
        <v>1391</v>
      </c>
      <c r="G89">
        <v>783</v>
      </c>
      <c r="H89">
        <v>472</v>
      </c>
      <c r="I89" s="314">
        <v>324</v>
      </c>
    </row>
    <row r="90" spans="1:9" hidden="1" x14ac:dyDescent="0.15">
      <c r="A90" s="208">
        <v>27</v>
      </c>
      <c r="B90" s="53"/>
      <c r="C90">
        <v>3280</v>
      </c>
      <c r="D90">
        <v>2610</v>
      </c>
      <c r="E90">
        <v>1989</v>
      </c>
      <c r="F90">
        <v>1419</v>
      </c>
      <c r="G90">
        <v>803</v>
      </c>
      <c r="H90">
        <v>487</v>
      </c>
      <c r="I90" s="314">
        <v>348</v>
      </c>
    </row>
    <row r="91" spans="1:9" hidden="1" x14ac:dyDescent="0.15">
      <c r="A91" s="208">
        <v>28</v>
      </c>
      <c r="B91" s="53"/>
      <c r="C91">
        <v>3319</v>
      </c>
      <c r="D91">
        <v>2646</v>
      </c>
      <c r="E91">
        <v>2025</v>
      </c>
      <c r="F91">
        <v>1450</v>
      </c>
      <c r="G91">
        <v>827</v>
      </c>
      <c r="H91">
        <v>501</v>
      </c>
      <c r="I91" s="314">
        <v>360</v>
      </c>
    </row>
    <row r="92" spans="1:9" hidden="1" x14ac:dyDescent="0.15">
      <c r="A92" s="208">
        <v>29</v>
      </c>
      <c r="B92" s="53"/>
      <c r="C92">
        <v>3370</v>
      </c>
      <c r="D92">
        <v>2691</v>
      </c>
      <c r="E92">
        <v>2065</v>
      </c>
      <c r="F92">
        <v>1485</v>
      </c>
      <c r="G92">
        <v>853</v>
      </c>
      <c r="H92">
        <v>515</v>
      </c>
      <c r="I92" s="314">
        <v>356</v>
      </c>
    </row>
    <row r="93" spans="1:9" hidden="1" x14ac:dyDescent="0.15">
      <c r="A93" s="208">
        <v>30</v>
      </c>
      <c r="B93" s="53"/>
      <c r="C93">
        <v>3426</v>
      </c>
      <c r="D93">
        <v>2747</v>
      </c>
      <c r="E93">
        <v>2114</v>
      </c>
      <c r="F93">
        <v>1524</v>
      </c>
      <c r="G93">
        <v>881</v>
      </c>
      <c r="H93">
        <v>530</v>
      </c>
      <c r="I93" s="314">
        <v>371</v>
      </c>
    </row>
    <row r="94" spans="1:9" hidden="1" x14ac:dyDescent="0.15">
      <c r="A94" s="208">
        <v>31</v>
      </c>
      <c r="B94" s="53"/>
      <c r="C94">
        <v>3493</v>
      </c>
      <c r="D94">
        <v>2808</v>
      </c>
      <c r="E94">
        <v>2167</v>
      </c>
      <c r="F94">
        <v>1569</v>
      </c>
      <c r="G94">
        <v>910</v>
      </c>
      <c r="H94">
        <v>545</v>
      </c>
      <c r="I94" s="314">
        <v>389</v>
      </c>
    </row>
    <row r="95" spans="1:9" hidden="1" x14ac:dyDescent="0.15">
      <c r="A95" s="208">
        <v>32</v>
      </c>
      <c r="B95" s="53"/>
      <c r="C95">
        <v>3570</v>
      </c>
      <c r="D95">
        <v>2876</v>
      </c>
      <c r="E95">
        <v>2226</v>
      </c>
      <c r="F95">
        <v>1618</v>
      </c>
      <c r="G95">
        <v>943</v>
      </c>
      <c r="H95">
        <v>567</v>
      </c>
      <c r="I95" s="314">
        <v>409</v>
      </c>
    </row>
    <row r="96" spans="1:9" hidden="1" x14ac:dyDescent="0.15">
      <c r="A96" s="208">
        <v>33</v>
      </c>
      <c r="B96" s="53"/>
      <c r="C96">
        <v>3658</v>
      </c>
      <c r="D96">
        <v>2954</v>
      </c>
      <c r="E96">
        <v>2293</v>
      </c>
      <c r="F96">
        <v>1673</v>
      </c>
      <c r="G96">
        <v>978</v>
      </c>
      <c r="H96">
        <v>594</v>
      </c>
      <c r="I96" s="314">
        <v>428</v>
      </c>
    </row>
    <row r="97" spans="1:9" hidden="1" x14ac:dyDescent="0.15">
      <c r="A97" s="208">
        <v>34</v>
      </c>
      <c r="B97" s="53"/>
      <c r="C97">
        <v>3756</v>
      </c>
      <c r="D97">
        <v>3038</v>
      </c>
      <c r="E97">
        <v>2366</v>
      </c>
      <c r="F97">
        <v>1731</v>
      </c>
      <c r="G97">
        <v>1020</v>
      </c>
      <c r="H97">
        <v>619</v>
      </c>
      <c r="I97" s="314">
        <v>450</v>
      </c>
    </row>
    <row r="98" spans="1:9" hidden="1" x14ac:dyDescent="0.15">
      <c r="A98" s="208">
        <v>35</v>
      </c>
      <c r="B98" s="53"/>
      <c r="C98">
        <v>3863</v>
      </c>
      <c r="D98">
        <v>3134</v>
      </c>
      <c r="E98">
        <v>2449</v>
      </c>
      <c r="F98">
        <v>1797</v>
      </c>
      <c r="G98">
        <v>1062</v>
      </c>
      <c r="H98">
        <v>650</v>
      </c>
      <c r="I98" s="314">
        <v>474</v>
      </c>
    </row>
    <row r="99" spans="1:9" hidden="1" x14ac:dyDescent="0.15">
      <c r="A99" s="208">
        <v>36</v>
      </c>
      <c r="B99" s="53"/>
      <c r="C99">
        <v>3984</v>
      </c>
      <c r="D99">
        <v>3239</v>
      </c>
      <c r="E99">
        <v>2539</v>
      </c>
      <c r="F99">
        <v>1867</v>
      </c>
      <c r="G99">
        <v>1110</v>
      </c>
      <c r="H99">
        <v>682</v>
      </c>
      <c r="I99" s="314">
        <v>501</v>
      </c>
    </row>
    <row r="100" spans="1:9" hidden="1" x14ac:dyDescent="0.15">
      <c r="A100" s="208">
        <v>37</v>
      </c>
      <c r="B100" s="53"/>
      <c r="C100">
        <v>4114</v>
      </c>
      <c r="D100">
        <v>3354</v>
      </c>
      <c r="E100">
        <v>2633</v>
      </c>
      <c r="F100">
        <v>1945</v>
      </c>
      <c r="G100">
        <v>1163</v>
      </c>
      <c r="H100">
        <v>717</v>
      </c>
      <c r="I100" s="314">
        <v>528</v>
      </c>
    </row>
    <row r="101" spans="1:9" hidden="1" x14ac:dyDescent="0.15">
      <c r="A101" s="208">
        <v>38</v>
      </c>
      <c r="B101" s="53"/>
      <c r="C101">
        <v>4257</v>
      </c>
      <c r="D101">
        <v>3479</v>
      </c>
      <c r="E101">
        <v>2739</v>
      </c>
      <c r="F101">
        <v>2029</v>
      </c>
      <c r="G101">
        <v>1219</v>
      </c>
      <c r="H101">
        <v>753</v>
      </c>
      <c r="I101" s="314">
        <v>558</v>
      </c>
    </row>
    <row r="102" spans="1:9" hidden="1" x14ac:dyDescent="0.15">
      <c r="A102" s="208">
        <v>39</v>
      </c>
      <c r="B102" s="53"/>
      <c r="C102">
        <v>4413</v>
      </c>
      <c r="D102">
        <v>3614</v>
      </c>
      <c r="E102">
        <v>2857</v>
      </c>
      <c r="F102">
        <v>2121</v>
      </c>
      <c r="G102">
        <v>1281</v>
      </c>
      <c r="H102">
        <v>795</v>
      </c>
      <c r="I102" s="314">
        <v>569</v>
      </c>
    </row>
    <row r="103" spans="1:9" hidden="1" x14ac:dyDescent="0.15">
      <c r="A103" s="208">
        <v>40</v>
      </c>
      <c r="B103" s="53"/>
      <c r="C103">
        <v>4538</v>
      </c>
      <c r="D103">
        <v>3761</v>
      </c>
      <c r="E103">
        <v>2983</v>
      </c>
      <c r="F103">
        <v>2222</v>
      </c>
      <c r="G103">
        <v>1345</v>
      </c>
      <c r="H103">
        <v>839</v>
      </c>
      <c r="I103" s="314">
        <v>580</v>
      </c>
    </row>
    <row r="104" spans="1:9" hidden="1" x14ac:dyDescent="0.15">
      <c r="A104" s="208">
        <v>41</v>
      </c>
      <c r="B104" s="53"/>
      <c r="C104">
        <v>4638</v>
      </c>
      <c r="D104">
        <v>3922</v>
      </c>
      <c r="E104">
        <v>3117</v>
      </c>
      <c r="F104">
        <v>2329</v>
      </c>
      <c r="G104">
        <v>1417</v>
      </c>
      <c r="H104">
        <v>888</v>
      </c>
      <c r="I104" s="314">
        <v>591</v>
      </c>
    </row>
    <row r="105" spans="1:9" hidden="1" x14ac:dyDescent="0.15">
      <c r="A105" s="208">
        <v>42</v>
      </c>
      <c r="B105" s="53"/>
      <c r="C105">
        <v>4750</v>
      </c>
      <c r="D105">
        <v>4098</v>
      </c>
      <c r="E105">
        <v>3260</v>
      </c>
      <c r="F105">
        <v>2448</v>
      </c>
      <c r="G105">
        <v>1496</v>
      </c>
      <c r="H105">
        <v>942</v>
      </c>
      <c r="I105" s="314">
        <v>628</v>
      </c>
    </row>
    <row r="106" spans="1:9" hidden="1" x14ac:dyDescent="0.15">
      <c r="A106" s="208">
        <v>43</v>
      </c>
      <c r="B106" s="53"/>
      <c r="C106">
        <v>4930</v>
      </c>
      <c r="D106">
        <v>4284</v>
      </c>
      <c r="E106">
        <v>3329</v>
      </c>
      <c r="F106">
        <v>2574</v>
      </c>
      <c r="G106">
        <v>1579</v>
      </c>
      <c r="H106">
        <v>999</v>
      </c>
      <c r="I106" s="314">
        <v>667</v>
      </c>
    </row>
    <row r="107" spans="1:9" hidden="1" x14ac:dyDescent="0.15">
      <c r="A107" s="208">
        <v>44</v>
      </c>
      <c r="B107" s="53"/>
      <c r="C107">
        <v>5120</v>
      </c>
      <c r="D107">
        <v>4454</v>
      </c>
      <c r="E107">
        <v>3424</v>
      </c>
      <c r="F107">
        <v>2711</v>
      </c>
      <c r="G107">
        <v>1671</v>
      </c>
      <c r="H107">
        <v>1061</v>
      </c>
      <c r="I107" s="314">
        <v>715</v>
      </c>
    </row>
    <row r="108" spans="1:9" hidden="1" x14ac:dyDescent="0.15">
      <c r="A108" s="208">
        <v>45</v>
      </c>
      <c r="B108" s="53"/>
      <c r="C108">
        <v>5311</v>
      </c>
      <c r="D108">
        <v>4617</v>
      </c>
      <c r="E108">
        <v>3535</v>
      </c>
      <c r="F108">
        <v>2860</v>
      </c>
      <c r="G108">
        <v>1768</v>
      </c>
      <c r="H108">
        <v>1128</v>
      </c>
      <c r="I108" s="314">
        <v>762</v>
      </c>
    </row>
    <row r="109" spans="1:9" hidden="1" x14ac:dyDescent="0.15">
      <c r="A109" s="208">
        <v>46</v>
      </c>
      <c r="B109" s="53"/>
      <c r="C109">
        <v>5366.79</v>
      </c>
      <c r="D109">
        <v>4781</v>
      </c>
      <c r="E109">
        <v>3660</v>
      </c>
      <c r="F109">
        <v>3019</v>
      </c>
      <c r="G109">
        <v>1878</v>
      </c>
      <c r="H109">
        <v>1201</v>
      </c>
      <c r="I109" s="314">
        <v>816</v>
      </c>
    </row>
    <row r="110" spans="1:9" hidden="1" x14ac:dyDescent="0.15">
      <c r="A110" s="208">
        <v>47</v>
      </c>
      <c r="B110" s="53"/>
      <c r="C110">
        <v>5403</v>
      </c>
      <c r="D110">
        <v>4944</v>
      </c>
      <c r="E110">
        <v>3799</v>
      </c>
      <c r="F110">
        <v>3192</v>
      </c>
      <c r="G110">
        <v>1989</v>
      </c>
      <c r="H110">
        <v>1278</v>
      </c>
      <c r="I110" s="314">
        <v>874</v>
      </c>
    </row>
    <row r="111" spans="1:9" hidden="1" x14ac:dyDescent="0.15">
      <c r="A111" s="208">
        <v>48</v>
      </c>
      <c r="B111" s="53"/>
      <c r="C111">
        <v>5494</v>
      </c>
      <c r="D111">
        <v>5120</v>
      </c>
      <c r="E111">
        <v>3952</v>
      </c>
      <c r="F111">
        <v>3378</v>
      </c>
      <c r="G111">
        <v>2036</v>
      </c>
      <c r="H111">
        <v>1364</v>
      </c>
      <c r="I111" s="314">
        <v>937</v>
      </c>
    </row>
    <row r="112" spans="1:9" hidden="1" x14ac:dyDescent="0.15">
      <c r="A112" s="208">
        <v>49</v>
      </c>
      <c r="B112" s="53"/>
      <c r="C112">
        <v>5721</v>
      </c>
      <c r="D112">
        <v>5292</v>
      </c>
      <c r="E112">
        <v>4113</v>
      </c>
      <c r="F112">
        <v>3581</v>
      </c>
      <c r="G112">
        <v>2110</v>
      </c>
      <c r="H112">
        <v>1458</v>
      </c>
      <c r="I112" s="314">
        <v>1004</v>
      </c>
    </row>
    <row r="113" spans="1:9" hidden="1" x14ac:dyDescent="0.15">
      <c r="A113" s="208">
        <v>50</v>
      </c>
      <c r="B113" s="53"/>
      <c r="C113">
        <v>6043</v>
      </c>
      <c r="D113">
        <v>5469</v>
      </c>
      <c r="E113">
        <v>4281</v>
      </c>
      <c r="F113">
        <v>3790</v>
      </c>
      <c r="G113">
        <v>2203</v>
      </c>
      <c r="H113">
        <v>1565</v>
      </c>
      <c r="I113" s="314">
        <v>1085</v>
      </c>
    </row>
    <row r="114" spans="1:9" hidden="1" x14ac:dyDescent="0.15">
      <c r="A114" s="208">
        <v>51</v>
      </c>
      <c r="B114" s="53"/>
      <c r="C114">
        <v>6421</v>
      </c>
      <c r="D114">
        <v>5640</v>
      </c>
      <c r="E114">
        <v>4466</v>
      </c>
      <c r="F114">
        <v>4045</v>
      </c>
      <c r="G114">
        <v>2310</v>
      </c>
      <c r="H114">
        <v>1698</v>
      </c>
      <c r="I114" s="314">
        <v>1182</v>
      </c>
    </row>
    <row r="115" spans="1:9" hidden="1" x14ac:dyDescent="0.15">
      <c r="A115" s="208">
        <v>52</v>
      </c>
      <c r="B115" s="53"/>
      <c r="C115">
        <v>6682</v>
      </c>
      <c r="D115">
        <v>5814</v>
      </c>
      <c r="E115">
        <v>4677</v>
      </c>
      <c r="F115">
        <v>4317</v>
      </c>
      <c r="G115">
        <v>2430</v>
      </c>
      <c r="H115">
        <v>1840</v>
      </c>
      <c r="I115" s="314">
        <v>1288</v>
      </c>
    </row>
    <row r="116" spans="1:9" hidden="1" x14ac:dyDescent="0.15">
      <c r="A116" s="208">
        <v>53</v>
      </c>
      <c r="B116" s="53"/>
      <c r="C116">
        <v>6920</v>
      </c>
      <c r="D116">
        <v>6017</v>
      </c>
      <c r="E116">
        <v>4923</v>
      </c>
      <c r="F116">
        <v>4562</v>
      </c>
      <c r="G116">
        <v>2558</v>
      </c>
      <c r="H116">
        <v>1989</v>
      </c>
      <c r="I116" s="314">
        <v>1401</v>
      </c>
    </row>
    <row r="117" spans="1:9" hidden="1" x14ac:dyDescent="0.15">
      <c r="A117" s="208">
        <v>54</v>
      </c>
      <c r="B117" s="53"/>
      <c r="C117">
        <v>7158</v>
      </c>
      <c r="D117">
        <v>6222</v>
      </c>
      <c r="E117">
        <v>5208</v>
      </c>
      <c r="F117">
        <v>4771</v>
      </c>
      <c r="G117">
        <v>2682</v>
      </c>
      <c r="H117">
        <v>2153</v>
      </c>
      <c r="I117" s="314">
        <v>1522</v>
      </c>
    </row>
    <row r="118" spans="1:9" hidden="1" x14ac:dyDescent="0.15">
      <c r="A118" s="208">
        <v>55</v>
      </c>
      <c r="B118" s="53"/>
      <c r="C118">
        <v>7399</v>
      </c>
      <c r="D118">
        <v>6433</v>
      </c>
      <c r="E118">
        <v>5526</v>
      </c>
      <c r="F118">
        <v>4971</v>
      </c>
      <c r="G118">
        <v>2805</v>
      </c>
      <c r="H118">
        <v>2310</v>
      </c>
      <c r="I118" s="314">
        <v>1652</v>
      </c>
    </row>
    <row r="119" spans="1:9" hidden="1" x14ac:dyDescent="0.15">
      <c r="A119" s="208">
        <v>56</v>
      </c>
      <c r="B119" s="53"/>
      <c r="C119">
        <v>7633</v>
      </c>
      <c r="D119">
        <v>6636</v>
      </c>
      <c r="E119">
        <v>5871</v>
      </c>
      <c r="F119">
        <v>5178</v>
      </c>
      <c r="G119">
        <v>2945</v>
      </c>
      <c r="H119">
        <v>2404</v>
      </c>
      <c r="I119" s="314">
        <v>1791</v>
      </c>
    </row>
    <row r="120" spans="1:9" hidden="1" x14ac:dyDescent="0.15">
      <c r="A120" s="208">
        <v>57</v>
      </c>
      <c r="B120" s="53"/>
      <c r="C120">
        <v>7867</v>
      </c>
      <c r="D120">
        <v>6844</v>
      </c>
      <c r="E120">
        <v>6238</v>
      </c>
      <c r="F120">
        <v>5406</v>
      </c>
      <c r="G120">
        <v>3118</v>
      </c>
      <c r="H120">
        <v>2520</v>
      </c>
      <c r="I120" s="314">
        <v>1943</v>
      </c>
    </row>
    <row r="121" spans="1:9" hidden="1" x14ac:dyDescent="0.15">
      <c r="A121" s="208">
        <v>58</v>
      </c>
      <c r="B121" s="53"/>
      <c r="C121">
        <v>8138</v>
      </c>
      <c r="D121">
        <v>7074</v>
      </c>
      <c r="E121">
        <v>6548</v>
      </c>
      <c r="F121">
        <v>5667</v>
      </c>
      <c r="G121">
        <v>3343</v>
      </c>
      <c r="H121">
        <v>2668</v>
      </c>
      <c r="I121" s="314">
        <v>2105</v>
      </c>
    </row>
    <row r="122" spans="1:9" hidden="1" x14ac:dyDescent="0.15">
      <c r="A122" s="208">
        <v>59</v>
      </c>
      <c r="B122" s="53"/>
      <c r="C122">
        <v>8410</v>
      </c>
      <c r="D122">
        <v>7314</v>
      </c>
      <c r="E122">
        <v>6744</v>
      </c>
      <c r="F122">
        <v>5923</v>
      </c>
      <c r="G122">
        <v>3620</v>
      </c>
      <c r="H122">
        <v>2846</v>
      </c>
      <c r="I122" s="314">
        <v>2278</v>
      </c>
    </row>
    <row r="123" spans="1:9" hidden="1" x14ac:dyDescent="0.15">
      <c r="A123" s="208">
        <v>60</v>
      </c>
      <c r="B123" s="53"/>
      <c r="C123">
        <v>8680</v>
      </c>
      <c r="D123">
        <v>7548</v>
      </c>
      <c r="E123">
        <v>6948</v>
      </c>
      <c r="F123">
        <v>6166</v>
      </c>
      <c r="G123">
        <v>3938</v>
      </c>
      <c r="H123">
        <v>3048</v>
      </c>
      <c r="I123" s="314">
        <v>2465</v>
      </c>
    </row>
    <row r="124" spans="1:9" hidden="1" x14ac:dyDescent="0.15">
      <c r="A124" s="208">
        <v>61</v>
      </c>
      <c r="B124" s="53"/>
      <c r="C124">
        <v>9015</v>
      </c>
      <c r="D124">
        <v>7837</v>
      </c>
      <c r="E124">
        <v>7247</v>
      </c>
      <c r="F124">
        <v>6452</v>
      </c>
      <c r="G124">
        <v>4295</v>
      </c>
      <c r="H124">
        <v>3275</v>
      </c>
      <c r="I124" s="314">
        <v>2602</v>
      </c>
    </row>
    <row r="125" spans="1:9" hidden="1" x14ac:dyDescent="0.15">
      <c r="A125" s="208">
        <v>62</v>
      </c>
      <c r="B125" s="53"/>
      <c r="C125">
        <v>9420</v>
      </c>
      <c r="D125">
        <v>8191</v>
      </c>
      <c r="E125">
        <v>7601</v>
      </c>
      <c r="F125">
        <v>6841</v>
      </c>
      <c r="G125">
        <v>4655</v>
      </c>
      <c r="H125">
        <v>3534</v>
      </c>
      <c r="I125" s="314">
        <v>2690</v>
      </c>
    </row>
    <row r="126" spans="1:9" hidden="1" x14ac:dyDescent="0.15">
      <c r="A126" s="208">
        <v>63</v>
      </c>
      <c r="B126" s="53"/>
      <c r="C126">
        <v>9905</v>
      </c>
      <c r="D126">
        <v>8611</v>
      </c>
      <c r="E126">
        <v>7994</v>
      </c>
      <c r="F126">
        <v>7233</v>
      </c>
      <c r="G126">
        <v>4898</v>
      </c>
      <c r="H126">
        <v>3824</v>
      </c>
      <c r="I126" s="314">
        <v>2879</v>
      </c>
    </row>
    <row r="127" spans="1:9" hidden="1" x14ac:dyDescent="0.15">
      <c r="A127" s="208">
        <v>64</v>
      </c>
      <c r="B127" s="53"/>
      <c r="C127">
        <v>10475</v>
      </c>
      <c r="D127">
        <v>9112</v>
      </c>
      <c r="E127">
        <v>8452</v>
      </c>
      <c r="F127">
        <v>7650</v>
      </c>
      <c r="G127">
        <v>5437</v>
      </c>
      <c r="H127">
        <v>4132</v>
      </c>
      <c r="I127" s="314">
        <v>3208</v>
      </c>
    </row>
    <row r="128" spans="1:9" hidden="1" x14ac:dyDescent="0.15">
      <c r="A128" s="208">
        <v>65</v>
      </c>
      <c r="B128" s="53"/>
      <c r="C128">
        <v>11163</v>
      </c>
      <c r="D128">
        <v>9703</v>
      </c>
      <c r="E128">
        <v>9004</v>
      </c>
      <c r="F128">
        <v>8221</v>
      </c>
      <c r="G128">
        <v>5821</v>
      </c>
      <c r="H128">
        <v>4453</v>
      </c>
      <c r="I128" s="314">
        <v>3636</v>
      </c>
    </row>
    <row r="129" spans="1:9" hidden="1" x14ac:dyDescent="0.15">
      <c r="A129" s="208">
        <v>66</v>
      </c>
      <c r="B129" s="53"/>
      <c r="C129">
        <v>11962</v>
      </c>
      <c r="D129">
        <v>10403</v>
      </c>
      <c r="E129">
        <v>9654</v>
      </c>
      <c r="F129">
        <v>8878</v>
      </c>
      <c r="G129">
        <v>6271</v>
      </c>
      <c r="H129">
        <v>4813</v>
      </c>
      <c r="I129" s="314">
        <v>3927</v>
      </c>
    </row>
    <row r="130" spans="1:9" hidden="1" x14ac:dyDescent="0.15">
      <c r="A130" s="208">
        <v>67</v>
      </c>
      <c r="B130" s="53"/>
      <c r="C130">
        <v>12918</v>
      </c>
      <c r="D130">
        <v>11234</v>
      </c>
      <c r="E130">
        <v>10427</v>
      </c>
      <c r="F130">
        <v>9594</v>
      </c>
      <c r="G130">
        <v>6773</v>
      </c>
      <c r="H130">
        <v>5239</v>
      </c>
      <c r="I130" s="314">
        <v>4240</v>
      </c>
    </row>
    <row r="131" spans="1:9" hidden="1" x14ac:dyDescent="0.15">
      <c r="A131" s="208">
        <v>68</v>
      </c>
      <c r="B131" s="53"/>
      <c r="C131">
        <v>14018</v>
      </c>
      <c r="D131">
        <v>12187</v>
      </c>
      <c r="E131">
        <v>11310</v>
      </c>
      <c r="F131">
        <v>10404</v>
      </c>
      <c r="G131">
        <v>7345</v>
      </c>
      <c r="H131">
        <v>5754</v>
      </c>
      <c r="I131" s="314">
        <v>4579</v>
      </c>
    </row>
    <row r="132" spans="1:9" hidden="1" x14ac:dyDescent="0.15">
      <c r="A132" s="208">
        <v>69</v>
      </c>
      <c r="B132" s="53"/>
      <c r="C132">
        <v>15295</v>
      </c>
      <c r="D132">
        <v>13301</v>
      </c>
      <c r="E132">
        <v>12342</v>
      </c>
      <c r="F132">
        <v>11362</v>
      </c>
      <c r="G132">
        <v>7639</v>
      </c>
      <c r="H132">
        <v>6325</v>
      </c>
      <c r="I132" s="314">
        <v>4940</v>
      </c>
    </row>
    <row r="133" spans="1:9" hidden="1" x14ac:dyDescent="0.15">
      <c r="A133" s="208">
        <v>70</v>
      </c>
      <c r="B133" s="53"/>
      <c r="C133">
        <v>16775</v>
      </c>
      <c r="D133">
        <v>14588</v>
      </c>
      <c r="E133">
        <v>13419</v>
      </c>
      <c r="F133">
        <v>12644</v>
      </c>
      <c r="G133">
        <v>8447</v>
      </c>
      <c r="H133">
        <v>6934</v>
      </c>
      <c r="I133" s="314">
        <v>5328</v>
      </c>
    </row>
    <row r="134" spans="1:9" hidden="1" x14ac:dyDescent="0.15">
      <c r="A134" s="208">
        <v>71</v>
      </c>
      <c r="B134" s="53"/>
      <c r="C134">
        <v>18476</v>
      </c>
      <c r="D134">
        <v>16068</v>
      </c>
      <c r="E134">
        <v>14907</v>
      </c>
      <c r="F134">
        <v>13923</v>
      </c>
      <c r="G134">
        <v>9305</v>
      </c>
      <c r="H134">
        <v>7634</v>
      </c>
      <c r="I134" s="314">
        <v>5665</v>
      </c>
    </row>
    <row r="135" spans="1:9" hidden="1" x14ac:dyDescent="0.15">
      <c r="A135" s="208">
        <v>72</v>
      </c>
      <c r="B135" s="53"/>
      <c r="C135">
        <v>20438</v>
      </c>
      <c r="D135">
        <v>17771</v>
      </c>
      <c r="E135">
        <v>16493</v>
      </c>
      <c r="F135">
        <v>15407</v>
      </c>
      <c r="G135">
        <v>10299</v>
      </c>
      <c r="H135">
        <v>8475</v>
      </c>
      <c r="I135" s="314">
        <v>5952</v>
      </c>
    </row>
    <row r="136" spans="1:9" hidden="1" x14ac:dyDescent="0.15">
      <c r="A136" s="208">
        <v>73</v>
      </c>
      <c r="B136" s="53"/>
      <c r="C136">
        <v>22700</v>
      </c>
      <c r="D136">
        <v>19737</v>
      </c>
      <c r="E136">
        <v>18313</v>
      </c>
      <c r="F136">
        <v>17105</v>
      </c>
      <c r="G136">
        <v>11429</v>
      </c>
      <c r="H136">
        <v>9141</v>
      </c>
      <c r="I136" s="314">
        <v>6271</v>
      </c>
    </row>
    <row r="137" spans="1:9" hidden="1" x14ac:dyDescent="0.15">
      <c r="A137" s="208">
        <v>74</v>
      </c>
      <c r="B137" s="53"/>
      <c r="C137">
        <v>25308</v>
      </c>
      <c r="D137">
        <v>22003</v>
      </c>
      <c r="E137">
        <v>20418</v>
      </c>
      <c r="F137">
        <v>19073</v>
      </c>
      <c r="G137">
        <v>12748</v>
      </c>
      <c r="H137">
        <v>9841</v>
      </c>
      <c r="I137" s="314">
        <v>6526</v>
      </c>
    </row>
    <row r="138" spans="1:9" hidden="1" x14ac:dyDescent="0.15">
      <c r="A138" s="208">
        <v>75</v>
      </c>
      <c r="B138" s="53"/>
      <c r="C138">
        <v>27215</v>
      </c>
      <c r="D138">
        <v>24606</v>
      </c>
      <c r="E138">
        <v>22740</v>
      </c>
      <c r="F138">
        <v>21461</v>
      </c>
      <c r="G138">
        <v>14303</v>
      </c>
      <c r="H138">
        <v>10582</v>
      </c>
      <c r="I138" s="314">
        <v>6798</v>
      </c>
    </row>
    <row r="139" spans="1:9" hidden="1" x14ac:dyDescent="0.15">
      <c r="A139" s="208">
        <v>76</v>
      </c>
      <c r="B139" s="53"/>
      <c r="C139">
        <v>28316</v>
      </c>
      <c r="D139">
        <v>27413</v>
      </c>
      <c r="E139">
        <v>25585</v>
      </c>
      <c r="F139">
        <v>22868</v>
      </c>
      <c r="G139">
        <v>16038</v>
      </c>
      <c r="H139">
        <v>11263</v>
      </c>
      <c r="I139" s="314">
        <v>7089</v>
      </c>
    </row>
    <row r="140" spans="1:9" hidden="1" x14ac:dyDescent="0.15">
      <c r="A140" s="208">
        <v>77</v>
      </c>
      <c r="B140" s="53"/>
      <c r="C140">
        <v>29458</v>
      </c>
      <c r="D140">
        <v>28579</v>
      </c>
      <c r="E140">
        <v>26928</v>
      </c>
      <c r="F140">
        <v>23964</v>
      </c>
      <c r="G140">
        <v>17729</v>
      </c>
      <c r="H140">
        <v>11895</v>
      </c>
      <c r="I140" s="314">
        <v>7399</v>
      </c>
    </row>
    <row r="141" spans="1:9" hidden="1" x14ac:dyDescent="0.15">
      <c r="A141" s="208">
        <v>78</v>
      </c>
      <c r="B141" s="53"/>
      <c r="C141">
        <v>30640</v>
      </c>
      <c r="D141">
        <v>29787</v>
      </c>
      <c r="E141">
        <v>28121</v>
      </c>
      <c r="F141">
        <v>25099</v>
      </c>
      <c r="G141">
        <v>18703</v>
      </c>
      <c r="H141">
        <v>12560</v>
      </c>
      <c r="I141" s="314">
        <v>7727</v>
      </c>
    </row>
    <row r="142" spans="1:9" hidden="1" x14ac:dyDescent="0.15">
      <c r="A142" s="208">
        <v>79</v>
      </c>
      <c r="B142" s="53"/>
      <c r="C142">
        <v>31863</v>
      </c>
      <c r="D142">
        <v>31038</v>
      </c>
      <c r="E142">
        <v>29356</v>
      </c>
      <c r="F142">
        <v>26276</v>
      </c>
      <c r="G142">
        <v>19717</v>
      </c>
      <c r="H142">
        <v>13258</v>
      </c>
      <c r="I142" s="314">
        <v>8074</v>
      </c>
    </row>
    <row r="143" spans="1:9" hidden="1" x14ac:dyDescent="0.15">
      <c r="A143" s="208">
        <v>80</v>
      </c>
      <c r="B143" s="53"/>
      <c r="C143">
        <v>33128</v>
      </c>
      <c r="D143">
        <v>32333</v>
      </c>
      <c r="E143">
        <v>30632</v>
      </c>
      <c r="F143">
        <v>27494</v>
      </c>
      <c r="G143">
        <v>20772</v>
      </c>
      <c r="H143">
        <v>13988</v>
      </c>
      <c r="I143" s="314">
        <v>8441</v>
      </c>
    </row>
    <row r="144" spans="1:9" hidden="1" x14ac:dyDescent="0.15">
      <c r="A144" s="208">
        <v>81</v>
      </c>
      <c r="B144" s="53"/>
      <c r="C144">
        <v>33128</v>
      </c>
      <c r="D144">
        <v>32333</v>
      </c>
      <c r="E144">
        <v>30632</v>
      </c>
      <c r="F144">
        <v>27494</v>
      </c>
      <c r="G144">
        <v>20772</v>
      </c>
      <c r="H144">
        <v>13988</v>
      </c>
      <c r="I144" s="314">
        <v>8441</v>
      </c>
    </row>
    <row r="145" spans="1:9" hidden="1" x14ac:dyDescent="0.15">
      <c r="A145" s="208">
        <v>82</v>
      </c>
      <c r="B145" s="53"/>
      <c r="C145">
        <v>33128</v>
      </c>
      <c r="D145">
        <v>32333</v>
      </c>
      <c r="E145">
        <v>30632</v>
      </c>
      <c r="F145">
        <v>27494</v>
      </c>
      <c r="G145">
        <v>20772</v>
      </c>
      <c r="H145">
        <v>13988</v>
      </c>
      <c r="I145" s="314">
        <v>8441</v>
      </c>
    </row>
    <row r="146" spans="1:9" hidden="1" x14ac:dyDescent="0.15">
      <c r="A146" s="208">
        <v>83</v>
      </c>
      <c r="B146" s="53"/>
      <c r="C146">
        <v>33128</v>
      </c>
      <c r="D146">
        <v>32333</v>
      </c>
      <c r="E146">
        <v>30632</v>
      </c>
      <c r="F146">
        <v>27494</v>
      </c>
      <c r="G146">
        <v>20772</v>
      </c>
      <c r="H146">
        <v>13988</v>
      </c>
      <c r="I146" s="314">
        <v>8441</v>
      </c>
    </row>
    <row r="147" spans="1:9" s="54" customFormat="1" hidden="1" x14ac:dyDescent="0.15">
      <c r="A147" s="208">
        <v>84</v>
      </c>
      <c r="B147" s="53" t="s">
        <v>134</v>
      </c>
      <c r="C147">
        <v>33128</v>
      </c>
      <c r="D147">
        <v>32333</v>
      </c>
      <c r="E147">
        <v>30632</v>
      </c>
      <c r="F147">
        <v>27494</v>
      </c>
      <c r="G147">
        <v>20772</v>
      </c>
      <c r="H147">
        <v>13988</v>
      </c>
      <c r="I147" s="314">
        <v>8441</v>
      </c>
    </row>
    <row r="148" spans="1:9" hidden="1" x14ac:dyDescent="0.15">
      <c r="A148" s="206">
        <v>1</v>
      </c>
      <c r="B148" s="207" t="s">
        <v>135</v>
      </c>
      <c r="C148">
        <v>1133</v>
      </c>
      <c r="D148">
        <v>1057</v>
      </c>
      <c r="E148">
        <v>715</v>
      </c>
      <c r="F148">
        <v>649</v>
      </c>
      <c r="G148">
        <v>381</v>
      </c>
      <c r="H148">
        <v>254</v>
      </c>
      <c r="I148">
        <v>169</v>
      </c>
    </row>
    <row r="149" spans="1:9" hidden="1" x14ac:dyDescent="0.15">
      <c r="A149" s="208">
        <v>2</v>
      </c>
      <c r="B149" s="53" t="s">
        <v>136</v>
      </c>
      <c r="C149">
        <v>2047</v>
      </c>
      <c r="D149">
        <v>1907</v>
      </c>
      <c r="E149">
        <v>1308</v>
      </c>
      <c r="F149">
        <v>1008</v>
      </c>
      <c r="G149">
        <v>539</v>
      </c>
      <c r="H149">
        <v>425</v>
      </c>
      <c r="I149">
        <v>338</v>
      </c>
    </row>
    <row r="150" spans="1:9" hidden="1" x14ac:dyDescent="0.15">
      <c r="A150" s="210">
        <v>3</v>
      </c>
      <c r="B150" s="203" t="s">
        <v>137</v>
      </c>
      <c r="C150">
        <v>2917</v>
      </c>
      <c r="D150">
        <v>2709</v>
      </c>
      <c r="E150">
        <v>1876</v>
      </c>
      <c r="F150">
        <v>1396</v>
      </c>
      <c r="G150">
        <v>748</v>
      </c>
      <c r="H150">
        <v>638</v>
      </c>
      <c r="I150">
        <v>507</v>
      </c>
    </row>
    <row r="152" spans="1:9" ht="18" hidden="1" x14ac:dyDescent="0.2">
      <c r="A152" s="623" t="s">
        <v>140</v>
      </c>
      <c r="B152" s="624"/>
      <c r="C152" s="624"/>
      <c r="D152" s="624"/>
      <c r="E152" s="624"/>
      <c r="F152" s="624"/>
      <c r="G152" s="624"/>
      <c r="H152" s="625"/>
      <c r="I152" s="336"/>
    </row>
    <row r="153" spans="1:9" ht="18" hidden="1" x14ac:dyDescent="0.2">
      <c r="A153" s="626" t="s">
        <v>70</v>
      </c>
      <c r="B153" s="627"/>
      <c r="C153" s="627"/>
      <c r="D153" s="627"/>
      <c r="E153" s="627"/>
      <c r="F153" s="627"/>
      <c r="G153" s="627"/>
      <c r="H153" s="628"/>
      <c r="I153" s="336"/>
    </row>
    <row r="154" spans="1:9" hidden="1" x14ac:dyDescent="0.15">
      <c r="A154" s="597"/>
      <c r="B154" s="598"/>
      <c r="C154" s="598"/>
      <c r="D154" s="598"/>
      <c r="E154" s="598"/>
      <c r="F154" s="598"/>
      <c r="G154" s="598"/>
      <c r="H154" s="599"/>
      <c r="I154" s="155"/>
    </row>
    <row r="155" spans="1:9" hidden="1" x14ac:dyDescent="0.15">
      <c r="A155" s="593" t="s">
        <v>131</v>
      </c>
      <c r="B155" s="594"/>
      <c r="C155" s="200">
        <v>0</v>
      </c>
      <c r="D155" s="200">
        <v>1000</v>
      </c>
      <c r="E155" s="200">
        <v>2000</v>
      </c>
      <c r="F155" s="200">
        <v>5000</v>
      </c>
      <c r="G155" s="200">
        <v>10000</v>
      </c>
      <c r="H155" s="201">
        <v>20000</v>
      </c>
      <c r="I155" s="337"/>
    </row>
    <row r="156" spans="1:9" ht="14" hidden="1" x14ac:dyDescent="0.15">
      <c r="A156" s="318">
        <v>18</v>
      </c>
      <c r="B156" s="310" t="s">
        <v>141</v>
      </c>
      <c r="C156" s="307">
        <v>5706</v>
      </c>
      <c r="D156" s="308">
        <v>5661</v>
      </c>
      <c r="E156" s="308">
        <v>4721</v>
      </c>
      <c r="F156" s="308">
        <v>3689</v>
      </c>
      <c r="G156" s="308">
        <v>2559</v>
      </c>
      <c r="H156" s="309">
        <v>1963</v>
      </c>
      <c r="I156"/>
    </row>
    <row r="157" spans="1:9" ht="14" hidden="1" x14ac:dyDescent="0.15">
      <c r="A157" s="318">
        <v>25</v>
      </c>
      <c r="B157" s="310" t="s">
        <v>142</v>
      </c>
      <c r="C157" s="307">
        <v>6626</v>
      </c>
      <c r="D157" s="308">
        <v>6617</v>
      </c>
      <c r="E157" s="308">
        <v>5331</v>
      </c>
      <c r="F157" s="308">
        <v>4099</v>
      </c>
      <c r="G157" s="308">
        <v>2853</v>
      </c>
      <c r="H157" s="309">
        <v>2174</v>
      </c>
      <c r="I157"/>
    </row>
    <row r="158" spans="1:9" ht="14" hidden="1" x14ac:dyDescent="0.15">
      <c r="A158" s="318">
        <v>30</v>
      </c>
      <c r="B158" s="310" t="s">
        <v>143</v>
      </c>
      <c r="C158" s="307">
        <v>7524</v>
      </c>
      <c r="D158" s="308">
        <v>7296</v>
      </c>
      <c r="E158" s="308">
        <v>6009</v>
      </c>
      <c r="F158" s="308">
        <v>4738</v>
      </c>
      <c r="G158" s="308">
        <v>3279</v>
      </c>
      <c r="H158" s="309">
        <v>2501</v>
      </c>
      <c r="I158"/>
    </row>
    <row r="159" spans="1:9" ht="14" hidden="1" x14ac:dyDescent="0.15">
      <c r="A159" s="318">
        <v>35</v>
      </c>
      <c r="B159" s="310" t="s">
        <v>144</v>
      </c>
      <c r="C159" s="307">
        <v>8410</v>
      </c>
      <c r="D159" s="308">
        <v>7994</v>
      </c>
      <c r="E159" s="308">
        <v>6928</v>
      </c>
      <c r="F159" s="308">
        <v>5263</v>
      </c>
      <c r="G159" s="308">
        <v>3635</v>
      </c>
      <c r="H159" s="309">
        <v>2767</v>
      </c>
      <c r="I159"/>
    </row>
    <row r="160" spans="1:9" ht="14" hidden="1" x14ac:dyDescent="0.15">
      <c r="A160" s="318">
        <v>40</v>
      </c>
      <c r="B160" s="310" t="s">
        <v>145</v>
      </c>
      <c r="C160" s="307">
        <v>9292</v>
      </c>
      <c r="D160" s="308">
        <v>8696</v>
      </c>
      <c r="E160" s="308">
        <v>8023</v>
      </c>
      <c r="F160" s="308">
        <v>5932</v>
      </c>
      <c r="G160" s="308">
        <v>4107</v>
      </c>
      <c r="H160" s="309">
        <v>3110</v>
      </c>
      <c r="I160"/>
    </row>
    <row r="161" spans="1:9" ht="14" hidden="1" x14ac:dyDescent="0.15">
      <c r="A161" s="318">
        <v>45</v>
      </c>
      <c r="B161" s="310" t="s">
        <v>146</v>
      </c>
      <c r="C161" s="307">
        <v>10174</v>
      </c>
      <c r="D161" s="308">
        <v>9919</v>
      </c>
      <c r="E161" s="308">
        <v>9642</v>
      </c>
      <c r="F161" s="308">
        <v>6897</v>
      </c>
      <c r="G161" s="308">
        <v>4757</v>
      </c>
      <c r="H161" s="309">
        <v>3598</v>
      </c>
      <c r="I161"/>
    </row>
    <row r="162" spans="1:9" ht="14" hidden="1" x14ac:dyDescent="0.15">
      <c r="A162" s="318">
        <v>50</v>
      </c>
      <c r="B162" s="310" t="s">
        <v>147</v>
      </c>
      <c r="C162" s="307">
        <v>11068</v>
      </c>
      <c r="D162" s="308">
        <v>11440</v>
      </c>
      <c r="E162" s="308">
        <v>10776</v>
      </c>
      <c r="F162" s="308">
        <v>7544</v>
      </c>
      <c r="G162" s="308">
        <v>5209</v>
      </c>
      <c r="H162" s="309">
        <v>3927</v>
      </c>
      <c r="I162"/>
    </row>
    <row r="163" spans="1:9" ht="14" hidden="1" x14ac:dyDescent="0.15">
      <c r="A163" s="318">
        <v>55</v>
      </c>
      <c r="B163" s="310" t="s">
        <v>148</v>
      </c>
      <c r="C163" s="307">
        <v>11979</v>
      </c>
      <c r="D163" s="308">
        <v>12395</v>
      </c>
      <c r="E163" s="308">
        <v>11530</v>
      </c>
      <c r="F163" s="308">
        <v>8571</v>
      </c>
      <c r="G163" s="308">
        <v>6167</v>
      </c>
      <c r="H163" s="309">
        <v>4627</v>
      </c>
      <c r="I163"/>
    </row>
    <row r="164" spans="1:9" ht="14" hidden="1" x14ac:dyDescent="0.15">
      <c r="A164" s="318">
        <v>60</v>
      </c>
      <c r="B164" s="310" t="s">
        <v>154</v>
      </c>
      <c r="C164" s="307">
        <v>12915</v>
      </c>
      <c r="D164" s="308">
        <v>13375</v>
      </c>
      <c r="E164" s="308">
        <v>12323</v>
      </c>
      <c r="F164" s="308">
        <v>9183</v>
      </c>
      <c r="G164" s="308">
        <v>6512</v>
      </c>
      <c r="H164" s="309">
        <v>4891</v>
      </c>
      <c r="I164"/>
    </row>
    <row r="165" spans="1:9" ht="14" hidden="1" x14ac:dyDescent="0.15">
      <c r="A165" s="318">
        <v>61</v>
      </c>
      <c r="B165" s="310" t="s">
        <v>155</v>
      </c>
      <c r="C165" s="307">
        <v>13885</v>
      </c>
      <c r="D165" s="308">
        <v>14391</v>
      </c>
      <c r="E165" s="308">
        <v>13165</v>
      </c>
      <c r="F165" s="308">
        <v>9855</v>
      </c>
      <c r="G165" s="308">
        <v>7327</v>
      </c>
      <c r="H165" s="309">
        <v>5507</v>
      </c>
      <c r="I165"/>
    </row>
    <row r="166" spans="1:9" ht="14" hidden="1" x14ac:dyDescent="0.15">
      <c r="A166" s="318">
        <v>62</v>
      </c>
      <c r="B166" s="310" t="s">
        <v>156</v>
      </c>
      <c r="C166" s="307">
        <v>14895</v>
      </c>
      <c r="D166" s="308">
        <v>15448</v>
      </c>
      <c r="E166" s="308">
        <v>14067</v>
      </c>
      <c r="F166" s="308">
        <v>10603</v>
      </c>
      <c r="G166" s="308">
        <v>8137</v>
      </c>
      <c r="H166" s="309">
        <v>6120</v>
      </c>
      <c r="I166"/>
    </row>
    <row r="167" spans="1:9" ht="14" hidden="1" x14ac:dyDescent="0.15">
      <c r="A167" s="318">
        <v>63</v>
      </c>
      <c r="B167" s="310" t="s">
        <v>157</v>
      </c>
      <c r="C167" s="307">
        <v>15953</v>
      </c>
      <c r="D167" s="308">
        <v>16557</v>
      </c>
      <c r="E167" s="308">
        <v>15043</v>
      </c>
      <c r="F167" s="308">
        <v>11437</v>
      </c>
      <c r="G167" s="308">
        <v>8946</v>
      </c>
      <c r="H167" s="309">
        <v>6720</v>
      </c>
      <c r="I167"/>
    </row>
    <row r="168" spans="1:9" ht="14" hidden="1" x14ac:dyDescent="0.15">
      <c r="A168" s="318">
        <v>64</v>
      </c>
      <c r="B168" s="310" t="s">
        <v>158</v>
      </c>
      <c r="C168" s="307">
        <v>16991</v>
      </c>
      <c r="D168" s="308">
        <v>17643</v>
      </c>
      <c r="E168" s="308">
        <v>16049</v>
      </c>
      <c r="F168" s="308">
        <v>12357</v>
      </c>
      <c r="G168" s="308">
        <v>9757</v>
      </c>
      <c r="H168" s="309">
        <v>7327</v>
      </c>
      <c r="I168"/>
    </row>
    <row r="169" spans="1:9" ht="14" hidden="1" x14ac:dyDescent="0.15">
      <c r="A169" s="318">
        <v>65</v>
      </c>
      <c r="B169" s="310" t="s">
        <v>159</v>
      </c>
      <c r="C169" s="307">
        <v>18012</v>
      </c>
      <c r="D169" s="308">
        <v>18711</v>
      </c>
      <c r="E169" s="308">
        <v>17093</v>
      </c>
      <c r="F169" s="308">
        <v>13369</v>
      </c>
      <c r="G169" s="308">
        <v>9812</v>
      </c>
      <c r="H169" s="309">
        <v>7356</v>
      </c>
      <c r="I169"/>
    </row>
    <row r="170" spans="1:9" ht="14" hidden="1" x14ac:dyDescent="0.15">
      <c r="A170" s="318">
        <v>66</v>
      </c>
      <c r="B170" s="310" t="s">
        <v>160</v>
      </c>
      <c r="C170" s="307">
        <v>19134</v>
      </c>
      <c r="D170" s="308">
        <v>19886</v>
      </c>
      <c r="E170" s="308">
        <v>18259</v>
      </c>
      <c r="F170" s="308">
        <v>14339</v>
      </c>
      <c r="G170" s="308">
        <v>9857</v>
      </c>
      <c r="H170" s="309">
        <v>7367</v>
      </c>
      <c r="I170"/>
    </row>
    <row r="171" spans="1:9" ht="14" hidden="1" x14ac:dyDescent="0.15">
      <c r="A171" s="318">
        <v>67</v>
      </c>
      <c r="B171" s="310" t="s">
        <v>161</v>
      </c>
      <c r="C171" s="307">
        <v>20471</v>
      </c>
      <c r="D171" s="308">
        <v>21287</v>
      </c>
      <c r="E171" s="308">
        <v>19624</v>
      </c>
      <c r="F171" s="308">
        <v>15787</v>
      </c>
      <c r="G171" s="308">
        <v>10957</v>
      </c>
      <c r="H171" s="309">
        <v>8191</v>
      </c>
      <c r="I171"/>
    </row>
    <row r="172" spans="1:9" ht="14" hidden="1" x14ac:dyDescent="0.15">
      <c r="A172" s="318">
        <v>68</v>
      </c>
      <c r="B172" s="310" t="s">
        <v>162</v>
      </c>
      <c r="C172" s="307">
        <v>22141</v>
      </c>
      <c r="D172" s="308">
        <v>23034</v>
      </c>
      <c r="E172" s="308">
        <v>21277</v>
      </c>
      <c r="F172" s="308">
        <v>17251</v>
      </c>
      <c r="G172" s="308">
        <v>12046</v>
      </c>
      <c r="H172" s="309">
        <v>9010</v>
      </c>
      <c r="I172"/>
    </row>
    <row r="173" spans="1:9" ht="14" hidden="1" x14ac:dyDescent="0.15">
      <c r="A173" s="318">
        <v>69</v>
      </c>
      <c r="B173" s="310" t="s">
        <v>163</v>
      </c>
      <c r="C173" s="307">
        <v>24246</v>
      </c>
      <c r="D173" s="308">
        <v>25239</v>
      </c>
      <c r="E173" s="308">
        <v>23305</v>
      </c>
      <c r="F173" s="308">
        <v>18306</v>
      </c>
      <c r="G173" s="308">
        <v>12576</v>
      </c>
      <c r="H173" s="309">
        <v>9423</v>
      </c>
      <c r="I173"/>
    </row>
    <row r="174" spans="1:9" ht="14" hidden="1" x14ac:dyDescent="0.15">
      <c r="A174" s="318">
        <v>70</v>
      </c>
      <c r="B174" s="310" t="s">
        <v>164</v>
      </c>
      <c r="C174" s="307">
        <v>26707</v>
      </c>
      <c r="D174" s="308">
        <v>27816</v>
      </c>
      <c r="E174" s="308">
        <v>25655</v>
      </c>
      <c r="F174" s="308">
        <v>18500</v>
      </c>
      <c r="G174" s="308">
        <v>12713</v>
      </c>
      <c r="H174" s="309">
        <v>9471</v>
      </c>
      <c r="I174"/>
    </row>
    <row r="175" spans="1:9" ht="14" hidden="1" x14ac:dyDescent="0.15">
      <c r="A175" s="318">
        <v>71</v>
      </c>
      <c r="B175" s="310" t="s">
        <v>165</v>
      </c>
      <c r="C175" s="307">
        <v>29374</v>
      </c>
      <c r="D175" s="308">
        <v>30608</v>
      </c>
      <c r="E175" s="308">
        <v>28188</v>
      </c>
      <c r="F175" s="308">
        <v>20803</v>
      </c>
      <c r="G175" s="308">
        <v>14293</v>
      </c>
      <c r="H175" s="309">
        <v>10645</v>
      </c>
      <c r="I175"/>
    </row>
    <row r="176" spans="1:9" ht="14" hidden="1" x14ac:dyDescent="0.15">
      <c r="A176" s="318">
        <v>72</v>
      </c>
      <c r="B176" s="310" t="s">
        <v>166</v>
      </c>
      <c r="C176" s="307">
        <v>32092</v>
      </c>
      <c r="D176" s="308">
        <v>33454</v>
      </c>
      <c r="E176" s="308">
        <v>30767</v>
      </c>
      <c r="F176" s="308">
        <v>23110</v>
      </c>
      <c r="G176" s="308">
        <v>15873</v>
      </c>
      <c r="H176" s="309">
        <v>11830</v>
      </c>
      <c r="I176"/>
    </row>
    <row r="177" spans="1:9" ht="14" hidden="1" x14ac:dyDescent="0.15">
      <c r="A177" s="318">
        <v>73</v>
      </c>
      <c r="B177" s="310" t="s">
        <v>167</v>
      </c>
      <c r="C177" s="307">
        <v>34707</v>
      </c>
      <c r="D177" s="308">
        <v>36193</v>
      </c>
      <c r="E177" s="308">
        <v>33257</v>
      </c>
      <c r="F177" s="308">
        <v>25419</v>
      </c>
      <c r="G177" s="308">
        <v>17462</v>
      </c>
      <c r="H177" s="309">
        <v>13005</v>
      </c>
      <c r="I177"/>
    </row>
    <row r="178" spans="1:9" ht="14" hidden="1" x14ac:dyDescent="0.15">
      <c r="A178" s="318">
        <v>74</v>
      </c>
      <c r="B178" s="310" t="s">
        <v>168</v>
      </c>
      <c r="C178" s="307">
        <v>37219</v>
      </c>
      <c r="D178" s="308">
        <v>38823</v>
      </c>
      <c r="E178" s="308">
        <v>35653</v>
      </c>
      <c r="F178" s="308">
        <v>27726</v>
      </c>
      <c r="G178" s="308">
        <v>19047</v>
      </c>
      <c r="H178" s="309">
        <v>14188</v>
      </c>
      <c r="I178"/>
    </row>
    <row r="179" spans="1:9" ht="14" hidden="1" x14ac:dyDescent="0.15">
      <c r="A179" s="318">
        <v>75</v>
      </c>
      <c r="B179" s="310" t="s">
        <v>169</v>
      </c>
      <c r="C179" s="307">
        <v>39732</v>
      </c>
      <c r="D179" s="308">
        <v>41455</v>
      </c>
      <c r="E179" s="308">
        <v>38048</v>
      </c>
      <c r="F179" s="308">
        <v>30322</v>
      </c>
      <c r="G179" s="308">
        <v>20830</v>
      </c>
      <c r="H179" s="309">
        <v>15498</v>
      </c>
      <c r="I179"/>
    </row>
    <row r="180" spans="1:9" ht="14" hidden="1" x14ac:dyDescent="0.15">
      <c r="A180" s="318">
        <v>1</v>
      </c>
      <c r="B180" s="319" t="s">
        <v>170</v>
      </c>
      <c r="C180" s="307">
        <v>1762</v>
      </c>
      <c r="D180" s="308">
        <v>1751</v>
      </c>
      <c r="E180" s="308">
        <v>1670</v>
      </c>
      <c r="F180" s="308">
        <v>1209</v>
      </c>
      <c r="G180" s="308">
        <v>983</v>
      </c>
      <c r="H180" s="309">
        <v>739</v>
      </c>
      <c r="I180"/>
    </row>
    <row r="181" spans="1:9" ht="14" hidden="1" x14ac:dyDescent="0.15">
      <c r="A181" s="318">
        <v>2</v>
      </c>
      <c r="B181" s="319" t="s">
        <v>171</v>
      </c>
      <c r="C181" s="307">
        <v>3211</v>
      </c>
      <c r="D181" s="308">
        <v>3361</v>
      </c>
      <c r="E181" s="308">
        <v>2726</v>
      </c>
      <c r="F181" s="308">
        <v>2281</v>
      </c>
      <c r="G181" s="308">
        <v>1565</v>
      </c>
      <c r="H181" s="309">
        <v>1328</v>
      </c>
      <c r="I181"/>
    </row>
    <row r="182" spans="1:9" ht="14" hidden="1" x14ac:dyDescent="0.15">
      <c r="A182" s="320">
        <v>3</v>
      </c>
      <c r="B182" s="321" t="s">
        <v>172</v>
      </c>
      <c r="C182" s="315">
        <v>4595</v>
      </c>
      <c r="D182" s="316">
        <v>4810</v>
      </c>
      <c r="E182" s="316">
        <v>3914</v>
      </c>
      <c r="F182" s="316">
        <v>3310</v>
      </c>
      <c r="G182" s="316">
        <v>2272</v>
      </c>
      <c r="H182" s="317">
        <v>1990</v>
      </c>
      <c r="I182"/>
    </row>
    <row r="183" spans="1:9" hidden="1" x14ac:dyDescent="0.15">
      <c r="A183" s="328">
        <v>1</v>
      </c>
      <c r="B183" s="333" t="s">
        <v>149</v>
      </c>
      <c r="C183" s="334">
        <v>225</v>
      </c>
      <c r="D183" s="334">
        <v>225</v>
      </c>
      <c r="E183" s="334">
        <v>225</v>
      </c>
      <c r="F183" s="334">
        <v>225</v>
      </c>
      <c r="G183" s="334">
        <v>225</v>
      </c>
      <c r="H183" s="335">
        <v>225</v>
      </c>
      <c r="I183"/>
    </row>
    <row r="184" spans="1:9" hidden="1" x14ac:dyDescent="0.15">
      <c r="A184" s="320">
        <v>1</v>
      </c>
      <c r="B184" s="325" t="s">
        <v>150</v>
      </c>
      <c r="C184" s="326">
        <v>300</v>
      </c>
      <c r="D184" s="326">
        <v>300</v>
      </c>
      <c r="E184" s="326">
        <v>300</v>
      </c>
      <c r="F184" s="326">
        <v>300</v>
      </c>
      <c r="G184" s="326">
        <v>300</v>
      </c>
      <c r="H184" s="327">
        <v>300</v>
      </c>
      <c r="I184"/>
    </row>
    <row r="185" spans="1:9" hidden="1" x14ac:dyDescent="0.15">
      <c r="B185" s="53"/>
      <c r="C185"/>
      <c r="D185"/>
      <c r="E185"/>
      <c r="F185"/>
      <c r="G185"/>
      <c r="H185"/>
      <c r="I185"/>
    </row>
    <row r="186" spans="1:9" hidden="1" x14ac:dyDescent="0.15">
      <c r="B186" s="53"/>
      <c r="C186"/>
      <c r="D186"/>
      <c r="E186"/>
      <c r="F186"/>
      <c r="G186"/>
      <c r="H186"/>
      <c r="I186"/>
    </row>
    <row r="187" spans="1:9" hidden="1" x14ac:dyDescent="0.15">
      <c r="B187" s="53"/>
      <c r="C187"/>
      <c r="D187"/>
      <c r="E187"/>
      <c r="F187"/>
      <c r="G187"/>
      <c r="H187"/>
      <c r="I187"/>
    </row>
    <row r="188" spans="1:9" hidden="1" x14ac:dyDescent="0.15">
      <c r="B188" s="53"/>
      <c r="C188"/>
      <c r="D188"/>
      <c r="E188"/>
      <c r="F188"/>
      <c r="G188"/>
      <c r="H188"/>
      <c r="I188"/>
    </row>
    <row r="189" spans="1:9" hidden="1" x14ac:dyDescent="0.15">
      <c r="B189" s="53"/>
      <c r="C189"/>
      <c r="D189"/>
      <c r="E189"/>
      <c r="F189"/>
      <c r="G189"/>
      <c r="H189"/>
      <c r="I189"/>
    </row>
    <row r="190" spans="1:9" hidden="1" x14ac:dyDescent="0.15">
      <c r="B190" s="53"/>
      <c r="C190"/>
      <c r="D190"/>
      <c r="E190"/>
      <c r="F190"/>
      <c r="G190"/>
      <c r="H190"/>
      <c r="I190"/>
    </row>
    <row r="191" spans="1:9" hidden="1" x14ac:dyDescent="0.15">
      <c r="B191" s="53"/>
      <c r="C191"/>
      <c r="D191"/>
      <c r="E191"/>
      <c r="F191"/>
      <c r="G191"/>
      <c r="H191"/>
      <c r="I191"/>
    </row>
    <row r="192" spans="1:9" hidden="1" x14ac:dyDescent="0.15">
      <c r="B192" s="53"/>
      <c r="C192"/>
      <c r="D192"/>
      <c r="E192"/>
      <c r="F192"/>
      <c r="G192"/>
      <c r="H192"/>
      <c r="I192"/>
    </row>
    <row r="193" spans="2:9" hidden="1" x14ac:dyDescent="0.15">
      <c r="B193" s="53"/>
      <c r="C193"/>
      <c r="D193"/>
      <c r="E193"/>
      <c r="F193"/>
      <c r="G193"/>
      <c r="H193"/>
      <c r="I193"/>
    </row>
    <row r="194" spans="2:9" hidden="1" x14ac:dyDescent="0.15">
      <c r="B194" s="53"/>
      <c r="C194"/>
      <c r="D194"/>
      <c r="E194"/>
      <c r="F194"/>
      <c r="G194"/>
      <c r="H194"/>
      <c r="I194"/>
    </row>
    <row r="195" spans="2:9" hidden="1" x14ac:dyDescent="0.15">
      <c r="B195" s="53"/>
      <c r="C195"/>
      <c r="D195"/>
      <c r="E195"/>
      <c r="F195"/>
      <c r="G195"/>
      <c r="H195"/>
      <c r="I195"/>
    </row>
    <row r="196" spans="2:9" hidden="1" x14ac:dyDescent="0.15">
      <c r="B196" s="53"/>
      <c r="C196"/>
      <c r="D196"/>
      <c r="E196"/>
      <c r="F196"/>
      <c r="G196"/>
      <c r="H196"/>
      <c r="I196"/>
    </row>
    <row r="197" spans="2:9" hidden="1" x14ac:dyDescent="0.15">
      <c r="B197" s="53"/>
      <c r="C197"/>
      <c r="D197"/>
      <c r="E197"/>
      <c r="F197"/>
      <c r="G197"/>
      <c r="H197"/>
      <c r="I197"/>
    </row>
    <row r="198" spans="2:9" hidden="1" x14ac:dyDescent="0.15">
      <c r="B198" s="53"/>
      <c r="C198"/>
      <c r="D198"/>
      <c r="E198"/>
      <c r="F198"/>
      <c r="G198"/>
      <c r="H198"/>
      <c r="I198"/>
    </row>
    <row r="199" spans="2:9" hidden="1" x14ac:dyDescent="0.15">
      <c r="B199" s="53"/>
      <c r="C199"/>
      <c r="D199"/>
      <c r="E199"/>
      <c r="F199"/>
      <c r="G199"/>
      <c r="H199"/>
      <c r="I199"/>
    </row>
    <row r="200" spans="2:9" hidden="1" x14ac:dyDescent="0.15">
      <c r="B200" s="53"/>
      <c r="C200"/>
      <c r="D200"/>
      <c r="E200"/>
      <c r="F200"/>
      <c r="G200"/>
      <c r="H200"/>
      <c r="I200"/>
    </row>
    <row r="201" spans="2:9" hidden="1" x14ac:dyDescent="0.15">
      <c r="B201" s="53"/>
      <c r="C201"/>
      <c r="D201"/>
      <c r="E201"/>
      <c r="F201"/>
      <c r="G201"/>
      <c r="H201"/>
      <c r="I201"/>
    </row>
    <row r="202" spans="2:9" hidden="1" x14ac:dyDescent="0.15">
      <c r="B202" s="53"/>
      <c r="C202"/>
      <c r="D202"/>
      <c r="E202"/>
      <c r="F202"/>
      <c r="G202"/>
      <c r="H202"/>
      <c r="I202"/>
    </row>
    <row r="203" spans="2:9" hidden="1" x14ac:dyDescent="0.15">
      <c r="B203" s="53"/>
      <c r="C203"/>
      <c r="D203"/>
      <c r="E203"/>
      <c r="F203"/>
      <c r="G203"/>
      <c r="H203"/>
      <c r="I203"/>
    </row>
    <row r="204" spans="2:9" hidden="1" x14ac:dyDescent="0.15">
      <c r="B204" s="53"/>
      <c r="C204"/>
      <c r="D204"/>
      <c r="E204"/>
      <c r="F204"/>
      <c r="G204"/>
      <c r="H204"/>
      <c r="I204"/>
    </row>
    <row r="205" spans="2:9" hidden="1" x14ac:dyDescent="0.15">
      <c r="B205" s="53"/>
      <c r="C205"/>
      <c r="D205"/>
      <c r="E205"/>
      <c r="F205"/>
      <c r="G205"/>
      <c r="H205"/>
      <c r="I205"/>
    </row>
    <row r="206" spans="2:9" hidden="1" x14ac:dyDescent="0.15">
      <c r="B206" s="53"/>
      <c r="C206"/>
      <c r="D206"/>
      <c r="E206"/>
      <c r="F206"/>
      <c r="G206"/>
      <c r="H206"/>
      <c r="I206"/>
    </row>
    <row r="207" spans="2:9" hidden="1" x14ac:dyDescent="0.15">
      <c r="B207" s="53"/>
      <c r="C207"/>
      <c r="D207"/>
      <c r="E207"/>
      <c r="F207"/>
      <c r="G207"/>
      <c r="H207"/>
      <c r="I207"/>
    </row>
    <row r="208" spans="2:9" hidden="1" x14ac:dyDescent="0.15">
      <c r="B208" s="53"/>
      <c r="C208"/>
      <c r="D208"/>
      <c r="E208"/>
      <c r="F208"/>
      <c r="G208"/>
      <c r="H208"/>
      <c r="I208"/>
    </row>
    <row r="209" spans="2:9" hidden="1" x14ac:dyDescent="0.15">
      <c r="B209" s="53"/>
      <c r="C209"/>
      <c r="D209"/>
      <c r="E209"/>
      <c r="F209"/>
      <c r="G209"/>
      <c r="H209"/>
      <c r="I209"/>
    </row>
    <row r="210" spans="2:9" hidden="1" x14ac:dyDescent="0.15">
      <c r="B210" s="53"/>
      <c r="C210"/>
      <c r="D210"/>
      <c r="E210"/>
      <c r="F210"/>
      <c r="G210"/>
      <c r="H210"/>
      <c r="I210"/>
    </row>
    <row r="211" spans="2:9" hidden="1" x14ac:dyDescent="0.15">
      <c r="B211" s="53"/>
      <c r="C211"/>
      <c r="D211"/>
      <c r="E211"/>
      <c r="F211"/>
      <c r="G211"/>
      <c r="H211"/>
      <c r="I211"/>
    </row>
    <row r="212" spans="2:9" hidden="1" x14ac:dyDescent="0.15">
      <c r="B212" s="53"/>
      <c r="C212"/>
      <c r="D212"/>
      <c r="E212"/>
      <c r="F212"/>
      <c r="G212"/>
      <c r="H212"/>
      <c r="I212"/>
    </row>
    <row r="213" spans="2:9" hidden="1" x14ac:dyDescent="0.15">
      <c r="B213" s="53"/>
      <c r="C213"/>
      <c r="D213"/>
      <c r="E213"/>
      <c r="F213"/>
      <c r="G213"/>
      <c r="H213"/>
      <c r="I213"/>
    </row>
    <row r="214" spans="2:9" hidden="1" x14ac:dyDescent="0.15">
      <c r="B214" s="53"/>
      <c r="C214"/>
      <c r="D214"/>
      <c r="E214"/>
      <c r="F214"/>
      <c r="G214"/>
      <c r="H214"/>
      <c r="I214"/>
    </row>
    <row r="215" spans="2:9" hidden="1" x14ac:dyDescent="0.15">
      <c r="B215" s="53"/>
      <c r="C215"/>
      <c r="D215"/>
      <c r="E215"/>
      <c r="F215"/>
      <c r="G215"/>
      <c r="H215"/>
      <c r="I215"/>
    </row>
    <row r="216" spans="2:9" hidden="1" x14ac:dyDescent="0.15">
      <c r="B216" s="53"/>
      <c r="C216"/>
      <c r="D216"/>
      <c r="E216"/>
      <c r="F216"/>
      <c r="G216"/>
      <c r="H216"/>
      <c r="I216"/>
    </row>
    <row r="217" spans="2:9" hidden="1" x14ac:dyDescent="0.15">
      <c r="B217" s="53"/>
      <c r="C217"/>
      <c r="D217"/>
      <c r="E217"/>
      <c r="F217"/>
      <c r="G217"/>
      <c r="H217"/>
      <c r="I217"/>
    </row>
    <row r="218" spans="2:9" hidden="1" x14ac:dyDescent="0.15">
      <c r="B218" s="53"/>
      <c r="C218"/>
      <c r="D218"/>
      <c r="E218"/>
      <c r="F218"/>
      <c r="G218"/>
      <c r="H218"/>
      <c r="I218"/>
    </row>
    <row r="219" spans="2:9" hidden="1" x14ac:dyDescent="0.15">
      <c r="B219" s="53"/>
      <c r="C219"/>
      <c r="D219"/>
      <c r="E219"/>
      <c r="F219"/>
      <c r="G219"/>
      <c r="H219"/>
      <c r="I219"/>
    </row>
    <row r="220" spans="2:9" hidden="1" x14ac:dyDescent="0.15">
      <c r="B220" s="53"/>
      <c r="C220"/>
      <c r="D220"/>
      <c r="E220"/>
      <c r="F220"/>
      <c r="G220"/>
      <c r="H220"/>
      <c r="I220"/>
    </row>
    <row r="221" spans="2:9" hidden="1" x14ac:dyDescent="0.15">
      <c r="B221" s="53"/>
      <c r="C221"/>
      <c r="D221"/>
      <c r="E221"/>
      <c r="F221"/>
      <c r="G221"/>
      <c r="H221"/>
      <c r="I221"/>
    </row>
    <row r="222" spans="2:9" hidden="1" x14ac:dyDescent="0.15">
      <c r="B222" s="53"/>
      <c r="C222"/>
      <c r="D222"/>
      <c r="E222"/>
      <c r="F222"/>
      <c r="G222"/>
      <c r="H222"/>
      <c r="I222"/>
    </row>
    <row r="223" spans="2:9" hidden="1" x14ac:dyDescent="0.15">
      <c r="B223" s="53"/>
      <c r="C223"/>
      <c r="D223"/>
      <c r="E223"/>
      <c r="F223"/>
      <c r="G223"/>
      <c r="H223"/>
      <c r="I223"/>
    </row>
    <row r="224" spans="2:9" hidden="1" x14ac:dyDescent="0.15">
      <c r="B224" s="53"/>
      <c r="C224"/>
      <c r="D224"/>
      <c r="E224"/>
      <c r="F224"/>
      <c r="G224"/>
      <c r="H224"/>
      <c r="I224"/>
    </row>
    <row r="225" spans="2:9" hidden="1" x14ac:dyDescent="0.15">
      <c r="B225" s="53"/>
      <c r="C225"/>
      <c r="D225"/>
      <c r="E225"/>
      <c r="F225"/>
      <c r="G225"/>
      <c r="H225"/>
      <c r="I225"/>
    </row>
  </sheetData>
  <sheetProtection algorithmName="SHA-512" hashValue="Ad+QufBvItBrkVjexcqqh9vfqyb875r5S6IXgQifjUEXcJLmCjyyI0VkkD6KDPlNmoScARjq4KsyfuXoW/7T7w==" saltValue="9T4OCCf5l91uLJrBBxD/Rw==" spinCount="100000" sheet="1" selectLockedCells="1"/>
  <mergeCells count="12">
    <mergeCell ref="A79:I79"/>
    <mergeCell ref="A77:I77"/>
    <mergeCell ref="A78:I78"/>
    <mergeCell ref="A2:I2"/>
    <mergeCell ref="A3:I3"/>
    <mergeCell ref="A4:I4"/>
    <mergeCell ref="A5:B5"/>
    <mergeCell ref="A155:B155"/>
    <mergeCell ref="A152:H152"/>
    <mergeCell ref="A153:H153"/>
    <mergeCell ref="A154:H154"/>
    <mergeCell ref="A80:B80"/>
  </mergeCells>
  <conditionalFormatting sqref="A1:XFD1 A3 A78 J77:XFD79 J2:XFD5 A226:XFD1048576 J152:XFD225 A153 A185:I225 I156:I184 A6:XFD76 A80:XFD151">
    <cfRule type="containsText" dxfId="11" priority="27" operator="containsText" text="TRUE">
      <formula>NOT(ISERROR(SEARCH("TRUE",A1)))</formula>
    </cfRule>
    <cfRule type="containsText" dxfId="10" priority="28" operator="containsText" text="FALSE">
      <formula>NOT(ISERROR(SEARCH("FALSE",A1)))</formula>
    </cfRule>
  </conditionalFormatting>
  <conditionalFormatting sqref="A2">
    <cfRule type="containsText" dxfId="9" priority="11" operator="containsText" text="TRUE">
      <formula>NOT(ISERROR(SEARCH("TRUE",A2)))</formula>
    </cfRule>
    <cfRule type="containsText" dxfId="8" priority="12" operator="containsText" text="FALSE">
      <formula>NOT(ISERROR(SEARCH("FALSE",A2)))</formula>
    </cfRule>
  </conditionalFormatting>
  <conditionalFormatting sqref="A77">
    <cfRule type="containsText" dxfId="7" priority="9" operator="containsText" text="TRUE">
      <formula>NOT(ISERROR(SEARCH("TRUE",A77)))</formula>
    </cfRule>
    <cfRule type="containsText" dxfId="6" priority="10" operator="containsText" text="FALSE">
      <formula>NOT(ISERROR(SEARCH("FALSE",A77)))</formula>
    </cfRule>
  </conditionalFormatting>
  <conditionalFormatting sqref="A5:I5">
    <cfRule type="containsText" dxfId="5" priority="7" operator="containsText" text="TRUE">
      <formula>NOT(ISERROR(SEARCH("TRUE",A5)))</formula>
    </cfRule>
    <cfRule type="containsText" dxfId="4" priority="8" operator="containsText" text="FALSE">
      <formula>NOT(ISERROR(SEARCH("FALSE",A5)))</formula>
    </cfRule>
  </conditionalFormatting>
  <conditionalFormatting sqref="A152">
    <cfRule type="containsText" dxfId="3" priority="3" operator="containsText" text="TRUE">
      <formula>NOT(ISERROR(SEARCH("TRUE",A152)))</formula>
    </cfRule>
    <cfRule type="containsText" dxfId="2" priority="4" operator="containsText" text="FALSE">
      <formula>NOT(ISERROR(SEARCH("FALSE",A152)))</formula>
    </cfRule>
  </conditionalFormatting>
  <conditionalFormatting sqref="A155:I155">
    <cfRule type="containsText" dxfId="1" priority="1" operator="containsText" text="TRUE">
      <formula>NOT(ISERROR(SEARCH("TRUE",A155)))</formula>
    </cfRule>
    <cfRule type="containsText" dxfId="0" priority="2" operator="containsText" text="FALSE">
      <formula>NOT(ISERROR(SEARCH("FALSE",A155)))</formula>
    </cfRule>
  </conditionalFormatting>
  <pageMargins left="0.74803149606299213" right="0.74803149606299213" top="0.98425196850393704" bottom="0.98425196850393704" header="0.51181102362204722" footer="0.51181102362204722"/>
  <pageSetup paperSize="9" orientation="landscape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C491C9DF5F88749AAAF3C73DE62FAB2" ma:contentTypeVersion="24" ma:contentTypeDescription="Create a new document." ma:contentTypeScope="" ma:versionID="6cf667c7f3d6fe251a5f535548527115">
  <xsd:schema xmlns:xsd="http://www.w3.org/2001/XMLSchema" xmlns:xs="http://www.w3.org/2001/XMLSchema" xmlns:p="http://schemas.microsoft.com/office/2006/metadata/properties" xmlns:ns1="http://schemas.microsoft.com/sharepoint/v3" xmlns:ns2="764ca372-02f0-45bc-a760-1a64a5dcbfcd" xmlns:ns3="381f09aa-3113-45b9-9ec4-6093462dd66a" xmlns:ns4="http://schemas.microsoft.com/sharepoint/v4" targetNamespace="http://schemas.microsoft.com/office/2006/metadata/properties" ma:root="true" ma:fieldsID="d48a80c550c9d6210ad8aa341d419ec0" ns1:_="" ns2:_="" ns3:_="" ns4:_="">
    <xsd:import namespace="http://schemas.microsoft.com/sharepoint/v3"/>
    <xsd:import namespace="764ca372-02f0-45bc-a760-1a64a5dcbfcd"/>
    <xsd:import namespace="381f09aa-3113-45b9-9ec4-6093462dd66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n9e9a5b88fe9414d961e94280bc86ad1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  <xsd:element ref="ns2:MediaLengthInSeconds" minOccurs="0"/>
                <xsd:element ref="ns4:IconOverlay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4ca372-02f0-45bc-a760-1a64a5dcbf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n9e9a5b88fe9414d961e94280bc86ad1" ma:index="19" nillable="true" ma:taxonomy="true" ma:internalName="n9e9a5b88fe9414d961e94280bc86ad1" ma:taxonomyFieldName="Document_x0020_Type" ma:displayName="Document Type" ma:indexed="true" ma:default="" ma:fieldId="{79e9a5b8-8fe9-414d-961e-94280bc86ad1}" ma:sspId="f3ac67fd-14c1-4ba7-bedb-b0c1d219f51c" ma:termSetId="d1849e82-87a7-4b0a-8266-aa9a34b6587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LengthInSeconds" ma:index="2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8" nillable="true" ma:taxonomy="true" ma:internalName="lcf76f155ced4ddcb4097134ff3c332f" ma:taxonomyFieldName="MediaServiceImageTags" ma:displayName="Image Tags" ma:readOnly="false" ma:fieldId="{5cf76f15-5ced-4ddc-b409-7134ff3c332f}" ma:taxonomyMulti="true" ma:sspId="f3ac67fd-14c1-4ba7-bedb-b0c1d219f51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1f09aa-3113-45b9-9ec4-6093462dd66a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f417fd11-6a88-46cf-a0cf-986479acd64a}" ma:internalName="TaxCatchAll" ma:showField="CatchAllData" ma:web="381f09aa-3113-45b9-9ec4-6093462dd6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6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381f09aa-3113-45b9-9ec4-6093462dd66a" xsi:nil="true"/>
    <IconOverlay xmlns="http://schemas.microsoft.com/sharepoint/v4" xsi:nil="true"/>
    <n9e9a5b88fe9414d961e94280bc86ad1 xmlns="764ca372-02f0-45bc-a760-1a64a5dcbfcd">
      <Terms xmlns="http://schemas.microsoft.com/office/infopath/2007/PartnerControls"/>
    </n9e9a5b88fe9414d961e94280bc86ad1>
    <lcf76f155ced4ddcb4097134ff3c332f xmlns="764ca372-02f0-45bc-a760-1a64a5dcbfcd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1A122C-EE4A-4452-A0B3-3F963A8234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64ca372-02f0-45bc-a760-1a64a5dcbfcd"/>
    <ds:schemaRef ds:uri="381f09aa-3113-45b9-9ec4-6093462dd66a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3E6EC3-BC5B-45FE-A984-EA2F7FE9303B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381f09aa-3113-45b9-9ec4-6093462dd66a"/>
    <ds:schemaRef ds:uri="http://schemas.microsoft.com/sharepoint/v4"/>
    <ds:schemaRef ds:uri="764ca372-02f0-45bc-a760-1a64a5dcbfcd"/>
  </ds:schemaRefs>
</ds:datastoreItem>
</file>

<file path=customXml/itemProps3.xml><?xml version="1.0" encoding="utf-8"?>
<ds:datastoreItem xmlns:ds="http://schemas.openxmlformats.org/officeDocument/2006/customXml" ds:itemID="{84B65E56-336F-4A4C-9137-B4652064D9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INGRESO DE DATOS</vt:lpstr>
      <vt:lpstr>Essential Care (Renovación)</vt:lpstr>
      <vt:lpstr>Essential 500</vt:lpstr>
      <vt:lpstr>Essential 1000</vt:lpstr>
      <vt:lpstr>Tablas</vt:lpstr>
      <vt:lpstr>Tablas Guyanas y Santa Elena</vt:lpstr>
      <vt:lpstr>Tablas Resto de Ecuador</vt:lpstr>
      <vt:lpstr>'Essential 1000'!Print_Area</vt:lpstr>
      <vt:lpstr>'Essential 500'!Print_Area</vt:lpstr>
      <vt:lpstr>'Essential Care (Renovación)'!Print_Area</vt:lpstr>
      <vt:lpstr>'Resumen Tarifas'!Print_Area</vt:lpstr>
    </vt:vector>
  </TitlesOfParts>
  <Manager/>
  <Company>Bupa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Freddy Galarza</dc:creator>
  <cp:keywords/>
  <dc:description/>
  <cp:lastModifiedBy>Luis E. Pacheco-Figueroa</cp:lastModifiedBy>
  <cp:revision/>
  <dcterms:created xsi:type="dcterms:W3CDTF">2005-02-05T20:47:31Z</dcterms:created>
  <dcterms:modified xsi:type="dcterms:W3CDTF">2026-08-07T13:28:43Z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3e25554-eeb6-41c4-9f5c-5947e7b79532_Enabled">
    <vt:lpwstr>true</vt:lpwstr>
  </property>
  <property fmtid="{D5CDD505-2E9C-101B-9397-08002B2CF9AE}" pid="3" name="MSIP_Label_93e25554-eeb6-41c4-9f5c-5947e7b79532_SetDate">
    <vt:lpwstr>2023-07-31T13:54:52Z</vt:lpwstr>
  </property>
  <property fmtid="{D5CDD505-2E9C-101B-9397-08002B2CF9AE}" pid="4" name="MSIP_Label_93e25554-eeb6-41c4-9f5c-5947e7b79532_Method">
    <vt:lpwstr>Standard</vt:lpwstr>
  </property>
  <property fmtid="{D5CDD505-2E9C-101B-9397-08002B2CF9AE}" pid="5" name="MSIP_Label_93e25554-eeb6-41c4-9f5c-5947e7b79532_Name">
    <vt:lpwstr>Business Use only</vt:lpwstr>
  </property>
  <property fmtid="{D5CDD505-2E9C-101B-9397-08002B2CF9AE}" pid="6" name="MSIP_Label_93e25554-eeb6-41c4-9f5c-5947e7b79532_SiteId">
    <vt:lpwstr>a9064290-f391-4cdc-b08e-74f033af2461</vt:lpwstr>
  </property>
  <property fmtid="{D5CDD505-2E9C-101B-9397-08002B2CF9AE}" pid="7" name="MSIP_Label_93e25554-eeb6-41c4-9f5c-5947e7b79532_ActionId">
    <vt:lpwstr>8af6c73e-843e-454c-acd3-e8f0c4cd21ec</vt:lpwstr>
  </property>
  <property fmtid="{D5CDD505-2E9C-101B-9397-08002B2CF9AE}" pid="8" name="MSIP_Label_93e25554-eeb6-41c4-9f5c-5947e7b79532_ContentBits">
    <vt:lpwstr>0</vt:lpwstr>
  </property>
  <property fmtid="{D5CDD505-2E9C-101B-9397-08002B2CF9AE}" pid="9" name="ContentTypeId">
    <vt:lpwstr>0x0101004C491C9DF5F88749AAAF3C73DE62FAB2</vt:lpwstr>
  </property>
  <property fmtid="{D5CDD505-2E9C-101B-9397-08002B2CF9AE}" pid="10" name="Document_x0020_Type">
    <vt:lpwstr/>
  </property>
  <property fmtid="{D5CDD505-2E9C-101B-9397-08002B2CF9AE}" pid="11" name="MediaServiceImageTags">
    <vt:lpwstr/>
  </property>
  <property fmtid="{D5CDD505-2E9C-101B-9397-08002B2CF9AE}" pid="12" name="Document Type">
    <vt:lpwstr/>
  </property>
</Properties>
</file>